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:\Meus Arquivos\Financeiro - Protesto\Emolumentos\2026\"/>
    </mc:Choice>
  </mc:AlternateContent>
  <xr:revisionPtr revIDLastSave="0" documentId="13_ncr:1_{7B4F52C4-15BE-413A-B1D4-8BD1E3C90A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pleta" sheetId="1" r:id="rId1"/>
    <sheet name="Distribuidor e Contador" sheetId="6" r:id="rId2"/>
  </sheets>
  <externalReferences>
    <externalReference r:id="rId3"/>
  </externalReferences>
  <calcPr calcId="191029" fullPrecision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1" l="1"/>
  <c r="B3" i="6" l="1"/>
  <c r="H21" i="6"/>
  <c r="D21" i="6"/>
  <c r="C22" i="6" s="1"/>
  <c r="H20" i="6"/>
  <c r="D20" i="6"/>
  <c r="C21" i="6" s="1"/>
  <c r="H19" i="6"/>
  <c r="D19" i="6"/>
  <c r="C20" i="6" s="1"/>
  <c r="H18" i="6"/>
  <c r="D17" i="6"/>
  <c r="C18" i="6" s="1"/>
  <c r="H16" i="6"/>
  <c r="J16" i="6"/>
  <c r="D16" i="6"/>
  <c r="C17" i="6" s="1"/>
  <c r="D15" i="6"/>
  <c r="C16" i="6" s="1"/>
  <c r="H14" i="6"/>
  <c r="J14" i="6"/>
  <c r="D14" i="6"/>
  <c r="C15" i="6" s="1"/>
  <c r="H13" i="6"/>
  <c r="H12" i="6"/>
  <c r="D12" i="6"/>
  <c r="C13" i="6" s="1"/>
  <c r="H11" i="6"/>
  <c r="C12" i="6"/>
  <c r="C11" i="6"/>
  <c r="B4" i="6"/>
  <c r="J10" i="6" l="1"/>
  <c r="D13" i="6"/>
  <c r="C14" i="6" s="1"/>
  <c r="J15" i="6"/>
  <c r="I17" i="6"/>
  <c r="H10" i="6"/>
  <c r="I13" i="6"/>
  <c r="H17" i="6"/>
  <c r="J17" i="6" s="1"/>
  <c r="H15" i="6"/>
  <c r="D18" i="6"/>
  <c r="C19" i="6" s="1"/>
  <c r="J20" i="6"/>
  <c r="I16" i="6"/>
  <c r="L16" i="6" s="1"/>
  <c r="J16" i="1" s="1"/>
  <c r="I22" i="6"/>
  <c r="H22" i="6"/>
  <c r="J19" i="6"/>
  <c r="I18" i="6"/>
  <c r="I11" i="6"/>
  <c r="L11" i="6" s="1"/>
  <c r="J18" i="6"/>
  <c r="J11" i="6"/>
  <c r="I12" i="6"/>
  <c r="I20" i="6"/>
  <c r="J12" i="6"/>
  <c r="I21" i="6"/>
  <c r="I14" i="6"/>
  <c r="L14" i="6" s="1"/>
  <c r="J14" i="1" s="1"/>
  <c r="J21" i="6"/>
  <c r="I10" i="6" l="1"/>
  <c r="L10" i="6" s="1"/>
  <c r="L17" i="6"/>
  <c r="J17" i="1" s="1"/>
  <c r="L21" i="6"/>
  <c r="J21" i="1" s="1"/>
  <c r="I15" i="6"/>
  <c r="L15" i="6" s="1"/>
  <c r="J15" i="1" s="1"/>
  <c r="J22" i="6"/>
  <c r="L22" i="6" s="1"/>
  <c r="J22" i="1" s="1"/>
  <c r="J13" i="6"/>
  <c r="L13" i="6" s="1"/>
  <c r="J13" i="1" s="1"/>
  <c r="J11" i="1"/>
  <c r="I19" i="6"/>
  <c r="L19" i="6" s="1"/>
  <c r="J19" i="1" s="1"/>
  <c r="L20" i="6"/>
  <c r="J20" i="1" s="1"/>
  <c r="L18" i="6"/>
  <c r="J18" i="1" s="1"/>
  <c r="L12" i="6"/>
  <c r="J12" i="1" s="1"/>
  <c r="J10" i="1" l="1"/>
  <c r="E81" i="1"/>
  <c r="E79" i="1"/>
  <c r="E78" i="1"/>
  <c r="J24" i="1" l="1"/>
  <c r="J38" i="1"/>
  <c r="I25" i="1"/>
  <c r="E80" i="1" l="1"/>
  <c r="H79" i="1"/>
  <c r="G79" i="1"/>
  <c r="F79" i="1"/>
  <c r="H78" i="1"/>
  <c r="G78" i="1"/>
  <c r="F78" i="1"/>
  <c r="E23" i="1"/>
  <c r="D65" i="1"/>
  <c r="D64" i="1"/>
  <c r="D52" i="1"/>
  <c r="D51" i="1"/>
  <c r="D39" i="1"/>
  <c r="D38" i="1"/>
  <c r="D25" i="1"/>
  <c r="D24" i="1"/>
  <c r="D12" i="1"/>
  <c r="L78" i="1" l="1"/>
  <c r="L79" i="1"/>
  <c r="F80" i="1"/>
  <c r="G80" i="1"/>
  <c r="H80" i="1"/>
  <c r="L80" i="1" l="1"/>
  <c r="I76" i="1"/>
  <c r="I75" i="1"/>
  <c r="I74" i="1"/>
  <c r="I73" i="1"/>
  <c r="I72" i="1"/>
  <c r="I71" i="1"/>
  <c r="I70" i="1"/>
  <c r="I69" i="1"/>
  <c r="I68" i="1"/>
  <c r="I67" i="1"/>
  <c r="I66" i="1"/>
  <c r="I65" i="1"/>
  <c r="E77" i="1"/>
  <c r="D75" i="1"/>
  <c r="C76" i="1" s="1"/>
  <c r="D74" i="1"/>
  <c r="C75" i="1" s="1"/>
  <c r="D73" i="1"/>
  <c r="C74" i="1" s="1"/>
  <c r="D72" i="1"/>
  <c r="C73" i="1" s="1"/>
  <c r="D71" i="1"/>
  <c r="C72" i="1" s="1"/>
  <c r="D70" i="1"/>
  <c r="C71" i="1" s="1"/>
  <c r="D69" i="1"/>
  <c r="C70" i="1" s="1"/>
  <c r="D68" i="1"/>
  <c r="C69" i="1" s="1"/>
  <c r="D67" i="1"/>
  <c r="C68" i="1" s="1"/>
  <c r="D66" i="1"/>
  <c r="C67" i="1" s="1"/>
  <c r="C66" i="1"/>
  <c r="C65" i="1"/>
  <c r="G77" i="1" l="1"/>
  <c r="F77" i="1"/>
  <c r="H77" i="1"/>
  <c r="L77" i="1" l="1"/>
  <c r="E82" i="1" l="1"/>
  <c r="D62" i="1"/>
  <c r="C63" i="1" s="1"/>
  <c r="D61" i="1"/>
  <c r="C62" i="1" s="1"/>
  <c r="D60" i="1"/>
  <c r="C61" i="1" s="1"/>
  <c r="D59" i="1"/>
  <c r="C60" i="1" s="1"/>
  <c r="D58" i="1"/>
  <c r="C59" i="1" s="1"/>
  <c r="D57" i="1"/>
  <c r="C58" i="1" s="1"/>
  <c r="D56" i="1"/>
  <c r="C57" i="1" s="1"/>
  <c r="D55" i="1"/>
  <c r="C56" i="1" s="1"/>
  <c r="D54" i="1"/>
  <c r="C55" i="1" s="1"/>
  <c r="D53" i="1"/>
  <c r="C54" i="1" s="1"/>
  <c r="C53" i="1"/>
  <c r="C52" i="1"/>
  <c r="D49" i="1"/>
  <c r="C50" i="1" s="1"/>
  <c r="D48" i="1"/>
  <c r="C49" i="1" s="1"/>
  <c r="D47" i="1"/>
  <c r="C48" i="1" s="1"/>
  <c r="D46" i="1"/>
  <c r="C47" i="1" s="1"/>
  <c r="D45" i="1"/>
  <c r="C46" i="1" s="1"/>
  <c r="D44" i="1"/>
  <c r="C45" i="1" s="1"/>
  <c r="D43" i="1"/>
  <c r="C44" i="1" s="1"/>
  <c r="D42" i="1"/>
  <c r="C43" i="1" s="1"/>
  <c r="D41" i="1"/>
  <c r="C42" i="1" s="1"/>
  <c r="D40" i="1"/>
  <c r="C41" i="1" s="1"/>
  <c r="C40" i="1"/>
  <c r="C39" i="1"/>
  <c r="D35" i="1"/>
  <c r="C36" i="1" s="1"/>
  <c r="D34" i="1"/>
  <c r="C35" i="1" s="1"/>
  <c r="D33" i="1"/>
  <c r="C34" i="1" s="1"/>
  <c r="D32" i="1"/>
  <c r="C33" i="1" s="1"/>
  <c r="D31" i="1"/>
  <c r="C32" i="1" s="1"/>
  <c r="D30" i="1"/>
  <c r="C31" i="1" s="1"/>
  <c r="D29" i="1"/>
  <c r="C30" i="1" s="1"/>
  <c r="D28" i="1"/>
  <c r="C29" i="1" s="1"/>
  <c r="D27" i="1"/>
  <c r="C28" i="1" s="1"/>
  <c r="D26" i="1"/>
  <c r="C27" i="1" s="1"/>
  <c r="C26" i="1"/>
  <c r="C25" i="1"/>
  <c r="C12" i="1"/>
  <c r="C11" i="1"/>
  <c r="E22" i="1"/>
  <c r="E12" i="1"/>
  <c r="E21" i="1"/>
  <c r="E20" i="1"/>
  <c r="E19" i="1"/>
  <c r="E18" i="1"/>
  <c r="E17" i="1"/>
  <c r="E16" i="1"/>
  <c r="E15" i="1"/>
  <c r="E14" i="1"/>
  <c r="G81" i="1" l="1"/>
  <c r="H81" i="1"/>
  <c r="F81" i="1"/>
  <c r="L81" i="1" s="1"/>
  <c r="H82" i="1"/>
  <c r="G82" i="1"/>
  <c r="F82" i="1"/>
  <c r="E57" i="1"/>
  <c r="E70" i="1" s="1"/>
  <c r="G16" i="1"/>
  <c r="F16" i="1"/>
  <c r="E61" i="1"/>
  <c r="G20" i="1"/>
  <c r="F20" i="1"/>
  <c r="F23" i="1"/>
  <c r="G23" i="1"/>
  <c r="F17" i="1"/>
  <c r="G17" i="1"/>
  <c r="F21" i="1"/>
  <c r="G21" i="1"/>
  <c r="E59" i="1"/>
  <c r="F18" i="1"/>
  <c r="G18" i="1"/>
  <c r="E55" i="1"/>
  <c r="F14" i="1"/>
  <c r="G14" i="1"/>
  <c r="E53" i="1"/>
  <c r="G12" i="1"/>
  <c r="F12" i="1"/>
  <c r="F15" i="1"/>
  <c r="G15" i="1"/>
  <c r="F19" i="1"/>
  <c r="G19" i="1"/>
  <c r="F22" i="1"/>
  <c r="K22" i="1" s="1"/>
  <c r="G22" i="1"/>
  <c r="E56" i="1"/>
  <c r="E60" i="1"/>
  <c r="E58" i="1"/>
  <c r="E62" i="1"/>
  <c r="D21" i="1"/>
  <c r="C22" i="1" s="1"/>
  <c r="D20" i="1"/>
  <c r="C21" i="1" s="1"/>
  <c r="D19" i="1"/>
  <c r="C20" i="1" s="1"/>
  <c r="D18" i="1"/>
  <c r="C19" i="1" s="1"/>
  <c r="D17" i="1"/>
  <c r="C18" i="1" s="1"/>
  <c r="D16" i="1"/>
  <c r="C17" i="1" s="1"/>
  <c r="D15" i="1"/>
  <c r="C16" i="1" s="1"/>
  <c r="D14" i="1"/>
  <c r="C15" i="1" s="1"/>
  <c r="D13" i="1"/>
  <c r="C14" i="1" s="1"/>
  <c r="E13" i="1"/>
  <c r="C13" i="1"/>
  <c r="E11" i="1"/>
  <c r="E10" i="1"/>
  <c r="E9" i="1"/>
  <c r="E8" i="1"/>
  <c r="E7" i="1"/>
  <c r="E24" i="1" l="1"/>
  <c r="L82" i="1"/>
  <c r="E51" i="1"/>
  <c r="L23" i="1"/>
  <c r="E75" i="1"/>
  <c r="E68" i="1"/>
  <c r="E38" i="1"/>
  <c r="E71" i="1"/>
  <c r="F51" i="1"/>
  <c r="E69" i="1"/>
  <c r="G7" i="1"/>
  <c r="F7" i="1"/>
  <c r="L7" i="1" s="1"/>
  <c r="F24" i="1"/>
  <c r="E73" i="1"/>
  <c r="E66" i="1"/>
  <c r="E72" i="1"/>
  <c r="E74" i="1"/>
  <c r="F9" i="1"/>
  <c r="L9" i="1" s="1"/>
  <c r="G9" i="1"/>
  <c r="F13" i="1"/>
  <c r="G13" i="1"/>
  <c r="F58" i="1"/>
  <c r="G58" i="1"/>
  <c r="F60" i="1"/>
  <c r="G60" i="1"/>
  <c r="G53" i="1"/>
  <c r="F53" i="1"/>
  <c r="F59" i="1"/>
  <c r="G59" i="1"/>
  <c r="G8" i="1"/>
  <c r="F8" i="1"/>
  <c r="L8" i="1" s="1"/>
  <c r="F62" i="1"/>
  <c r="G62" i="1"/>
  <c r="G61" i="1"/>
  <c r="F61" i="1"/>
  <c r="F55" i="1"/>
  <c r="G55" i="1"/>
  <c r="F10" i="1"/>
  <c r="K10" i="1" s="1"/>
  <c r="G10" i="1"/>
  <c r="F11" i="1"/>
  <c r="G11" i="1"/>
  <c r="F56" i="1"/>
  <c r="F69" i="1" s="1"/>
  <c r="G56" i="1"/>
  <c r="G69" i="1" s="1"/>
  <c r="G57" i="1"/>
  <c r="F57" i="1"/>
  <c r="E54" i="1"/>
  <c r="E67" i="1" s="1"/>
  <c r="E34" i="1"/>
  <c r="E30" i="1"/>
  <c r="E26" i="1"/>
  <c r="E33" i="1"/>
  <c r="E29" i="1"/>
  <c r="E32" i="1"/>
  <c r="E28" i="1"/>
  <c r="E35" i="1"/>
  <c r="E31" i="1"/>
  <c r="E27" i="1"/>
  <c r="E46" i="1"/>
  <c r="E42" i="1"/>
  <c r="E49" i="1"/>
  <c r="E45" i="1"/>
  <c r="E41" i="1"/>
  <c r="E48" i="1"/>
  <c r="E44" i="1"/>
  <c r="E40" i="1"/>
  <c r="E47" i="1"/>
  <c r="E43" i="1"/>
  <c r="F72" i="1" l="1"/>
  <c r="E64" i="1"/>
  <c r="H51" i="1"/>
  <c r="H64" i="1" s="1"/>
  <c r="F66" i="1"/>
  <c r="F74" i="1"/>
  <c r="G71" i="1"/>
  <c r="F68" i="1"/>
  <c r="F71" i="1"/>
  <c r="F64" i="1"/>
  <c r="L64" i="1" s="1"/>
  <c r="G70" i="1"/>
  <c r="G51" i="1"/>
  <c r="G64" i="1" s="1"/>
  <c r="F38" i="1"/>
  <c r="G38" i="1"/>
  <c r="F75" i="1"/>
  <c r="F73" i="1"/>
  <c r="G74" i="1"/>
  <c r="G66" i="1"/>
  <c r="F70" i="1"/>
  <c r="G68" i="1"/>
  <c r="G75" i="1"/>
  <c r="G72" i="1"/>
  <c r="G73" i="1"/>
  <c r="F40" i="1"/>
  <c r="G40" i="1"/>
  <c r="G27" i="1"/>
  <c r="F27" i="1"/>
  <c r="F26" i="1"/>
  <c r="G26" i="1"/>
  <c r="F43" i="1"/>
  <c r="G43" i="1"/>
  <c r="F42" i="1"/>
  <c r="G42" i="1"/>
  <c r="G35" i="1"/>
  <c r="F35" i="1"/>
  <c r="F29" i="1"/>
  <c r="G29" i="1"/>
  <c r="F34" i="1"/>
  <c r="G34" i="1"/>
  <c r="G45" i="1"/>
  <c r="F45" i="1"/>
  <c r="G32" i="1"/>
  <c r="F32" i="1"/>
  <c r="F44" i="1"/>
  <c r="G44" i="1"/>
  <c r="G49" i="1"/>
  <c r="F49" i="1"/>
  <c r="G31" i="1"/>
  <c r="F31" i="1"/>
  <c r="G24" i="1"/>
  <c r="F30" i="1"/>
  <c r="G30" i="1"/>
  <c r="F48" i="1"/>
  <c r="G48" i="1"/>
  <c r="F47" i="1"/>
  <c r="G47" i="1"/>
  <c r="G41" i="1"/>
  <c r="F41" i="1"/>
  <c r="F46" i="1"/>
  <c r="G46" i="1"/>
  <c r="G28" i="1"/>
  <c r="F28" i="1"/>
  <c r="F33" i="1"/>
  <c r="G33" i="1"/>
  <c r="F54" i="1"/>
  <c r="F67" i="1" s="1"/>
  <c r="G54" i="1"/>
  <c r="G67" i="1" s="1"/>
  <c r="L51" i="1" l="1"/>
  <c r="E39" i="1"/>
  <c r="I40" i="1"/>
  <c r="F39" i="1" l="1"/>
  <c r="G39" i="1"/>
  <c r="J25" i="1" l="1"/>
  <c r="E25" i="1" l="1"/>
  <c r="I24" i="1"/>
  <c r="F25" i="1" l="1"/>
  <c r="G25" i="1"/>
  <c r="K25" i="1" l="1"/>
  <c r="I50" i="1"/>
  <c r="I49" i="1"/>
  <c r="I48" i="1"/>
  <c r="I47" i="1"/>
  <c r="I46" i="1"/>
  <c r="I45" i="1"/>
  <c r="I44" i="1"/>
  <c r="I43" i="1"/>
  <c r="I42" i="1"/>
  <c r="I41" i="1"/>
  <c r="I39" i="1"/>
  <c r="E50" i="1"/>
  <c r="I38" i="1"/>
  <c r="K38" i="1" s="1"/>
  <c r="F50" i="1" l="1"/>
  <c r="G50" i="1"/>
  <c r="I36" i="1"/>
  <c r="I35" i="1"/>
  <c r="I34" i="1"/>
  <c r="I33" i="1"/>
  <c r="I32" i="1"/>
  <c r="I31" i="1"/>
  <c r="I30" i="1"/>
  <c r="I29" i="1"/>
  <c r="I28" i="1"/>
  <c r="I27" i="1"/>
  <c r="I26" i="1"/>
  <c r="E36" i="1"/>
  <c r="G36" i="1" l="1"/>
  <c r="F36" i="1"/>
  <c r="J48" i="1" l="1"/>
  <c r="K17" i="1" l="1"/>
  <c r="J26" i="1"/>
  <c r="J40" i="1"/>
  <c r="J27" i="1"/>
  <c r="J41" i="1"/>
  <c r="J31" i="1"/>
  <c r="J45" i="1"/>
  <c r="J35" i="1"/>
  <c r="J49" i="1"/>
  <c r="J28" i="1"/>
  <c r="J42" i="1"/>
  <c r="J32" i="1"/>
  <c r="J46" i="1"/>
  <c r="J36" i="1"/>
  <c r="J50" i="1"/>
  <c r="J30" i="1"/>
  <c r="J44" i="1"/>
  <c r="J39" i="1"/>
  <c r="J29" i="1"/>
  <c r="J43" i="1"/>
  <c r="J33" i="1"/>
  <c r="J47" i="1"/>
  <c r="J34" i="1"/>
  <c r="K16" i="1"/>
  <c r="K44" i="1" l="1"/>
  <c r="K43" i="1"/>
  <c r="K30" i="1"/>
  <c r="K29" i="1"/>
  <c r="K48" i="1"/>
  <c r="K34" i="1"/>
  <c r="K20" i="1"/>
  <c r="K32" i="1"/>
  <c r="K18" i="1"/>
  <c r="K46" i="1"/>
  <c r="K42" i="1"/>
  <c r="K14" i="1"/>
  <c r="K28" i="1"/>
  <c r="K49" i="1"/>
  <c r="K21" i="1"/>
  <c r="K35" i="1"/>
  <c r="K13" i="1"/>
  <c r="K27" i="1"/>
  <c r="K41" i="1"/>
  <c r="K39" i="1"/>
  <c r="K11" i="1"/>
  <c r="K50" i="1"/>
  <c r="K36" i="1"/>
  <c r="K40" i="1"/>
  <c r="K26" i="1"/>
  <c r="K12" i="1"/>
  <c r="K33" i="1"/>
  <c r="K47" i="1"/>
  <c r="K19" i="1"/>
  <c r="K15" i="1"/>
  <c r="K45" i="1"/>
  <c r="K31" i="1"/>
  <c r="E52" i="1" l="1"/>
  <c r="E65" i="1" s="1"/>
  <c r="F52" i="1" l="1"/>
  <c r="F65" i="1" s="1"/>
  <c r="G52" i="1"/>
  <c r="G65" i="1" s="1"/>
  <c r="H52" i="1"/>
  <c r="H65" i="1" s="1"/>
  <c r="H57" i="1"/>
  <c r="H70" i="1" s="1"/>
  <c r="L70" i="1" s="1"/>
  <c r="H53" i="1"/>
  <c r="H66" i="1" s="1"/>
  <c r="L66" i="1" s="1"/>
  <c r="L65" i="1" l="1"/>
  <c r="L53" i="1"/>
  <c r="L57" i="1"/>
  <c r="L52" i="1"/>
  <c r="E63" i="1"/>
  <c r="E76" i="1" s="1"/>
  <c r="F63" i="1" l="1"/>
  <c r="F76" i="1" s="1"/>
  <c r="G63" i="1"/>
  <c r="G76" i="1" s="1"/>
  <c r="H55" i="1"/>
  <c r="H68" i="1" s="1"/>
  <c r="L68" i="1" s="1"/>
  <c r="H58" i="1"/>
  <c r="H71" i="1" s="1"/>
  <c r="L71" i="1" s="1"/>
  <c r="H62" i="1"/>
  <c r="H75" i="1" s="1"/>
  <c r="L75" i="1" s="1"/>
  <c r="H60" i="1"/>
  <c r="H73" i="1" s="1"/>
  <c r="L73" i="1" s="1"/>
  <c r="H63" i="1"/>
  <c r="H76" i="1" s="1"/>
  <c r="H59" i="1"/>
  <c r="H72" i="1" s="1"/>
  <c r="L72" i="1" s="1"/>
  <c r="H54" i="1"/>
  <c r="H67" i="1" s="1"/>
  <c r="L67" i="1" s="1"/>
  <c r="H61" i="1"/>
  <c r="H74" i="1" s="1"/>
  <c r="L74" i="1" s="1"/>
  <c r="H56" i="1"/>
  <c r="K24" i="1"/>
  <c r="L76" i="1" l="1"/>
  <c r="L56" i="1"/>
  <c r="H69" i="1"/>
  <c r="L69" i="1" s="1"/>
  <c r="L55" i="1"/>
  <c r="L54" i="1"/>
  <c r="L62" i="1"/>
  <c r="L59" i="1"/>
  <c r="L63" i="1"/>
  <c r="L58" i="1"/>
  <c r="L61" i="1"/>
  <c r="L60" i="1"/>
</calcChain>
</file>

<file path=xl/sharedStrings.xml><?xml version="1.0" encoding="utf-8"?>
<sst xmlns="http://schemas.openxmlformats.org/spreadsheetml/2006/main" count="237" uniqueCount="72">
  <si>
    <t>I</t>
  </si>
  <si>
    <t>Anotação ou Protesto</t>
  </si>
  <si>
    <t>II</t>
  </si>
  <si>
    <t>III</t>
  </si>
  <si>
    <t>V</t>
  </si>
  <si>
    <t>VI</t>
  </si>
  <si>
    <t>Autenticação de ato praticado ou de documento em poder da serventia</t>
  </si>
  <si>
    <t>De</t>
  </si>
  <si>
    <t>Até</t>
  </si>
  <si>
    <t>Valor do título</t>
  </si>
  <si>
    <t>variável</t>
  </si>
  <si>
    <t>IX Tabela XIV</t>
  </si>
  <si>
    <t>Intimação</t>
  </si>
  <si>
    <t>III a Tabela XIV</t>
  </si>
  <si>
    <t>III b Tabela XIV</t>
  </si>
  <si>
    <t>Anotação + Intimação + Remessa 1 + Digitalização</t>
  </si>
  <si>
    <t>I + II + III a + IX</t>
  </si>
  <si>
    <t>I + II + III b + IX</t>
  </si>
  <si>
    <t>Anotação + Intimação + Remessa 2 + Digitalização</t>
  </si>
  <si>
    <r>
      <t>ISS Protesto</t>
    </r>
    <r>
      <rPr>
        <b/>
        <vertAlign val="superscript"/>
        <sz val="12"/>
        <color theme="1"/>
        <rFont val="Palatino Linotype"/>
        <family val="1"/>
      </rPr>
      <t>2</t>
    </r>
  </si>
  <si>
    <r>
      <t>ISS Distribuidor e Contador</t>
    </r>
    <r>
      <rPr>
        <b/>
        <vertAlign val="superscript"/>
        <sz val="12"/>
        <color theme="1"/>
        <rFont val="Palatino Linotype"/>
        <family val="1"/>
      </rPr>
      <t>3</t>
    </r>
  </si>
  <si>
    <r>
      <t>TOTAL SEM FUNREJUS VARIÁVEL</t>
    </r>
    <r>
      <rPr>
        <b/>
        <vertAlign val="superscript"/>
        <sz val="12"/>
        <color theme="1"/>
        <rFont val="Palatino Linotype"/>
        <family val="1"/>
      </rPr>
      <t>7</t>
    </r>
  </si>
  <si>
    <r>
      <t>TOTAL, QUANDO FIXO</t>
    </r>
    <r>
      <rPr>
        <b/>
        <vertAlign val="superscript"/>
        <sz val="12"/>
        <color theme="1"/>
        <rFont val="Palatino Linotype"/>
        <family val="1"/>
      </rPr>
      <t>7</t>
    </r>
  </si>
  <si>
    <r>
      <t>7</t>
    </r>
    <r>
      <rPr>
        <sz val="12"/>
        <rFont val="Palatino Linotype"/>
        <family val="1"/>
      </rPr>
      <t>Acrescentar porte de retorno, se for o caso</t>
    </r>
  </si>
  <si>
    <r>
      <t>3</t>
    </r>
    <r>
      <rPr>
        <sz val="12"/>
        <rFont val="Palatino Linotype"/>
        <family val="1"/>
      </rPr>
      <t>Fundo de Aparelhamento da Defensoria Pública do Estado: art. 230, XII e § 2º, da Lei Complementar Estadual 136/2011, com a redação dada pela Lei Complementar Estadual 207/2018</t>
    </r>
  </si>
  <si>
    <t>TOTAL</t>
  </si>
  <si>
    <r>
      <t>4</t>
    </r>
    <r>
      <rPr>
        <sz val="12"/>
        <rFont val="Palatino Linotype"/>
        <family val="1"/>
      </rPr>
      <t>Fundo de Aparelhamento da Defensoria Pública do Estado: art. 230, XII e § 2º, da Lei Complementar Estadual 136/2011, com a redação dada pela Lei Complementar Estadual 207/2018</t>
    </r>
  </si>
  <si>
    <t>IV</t>
  </si>
  <si>
    <t>VIIa</t>
  </si>
  <si>
    <t>VIIb</t>
  </si>
  <si>
    <t>VIII</t>
  </si>
  <si>
    <t>VRC</t>
  </si>
  <si>
    <r>
      <t>FUNDEP Protesto</t>
    </r>
    <r>
      <rPr>
        <b/>
        <vertAlign val="superscript"/>
        <sz val="12"/>
        <color theme="1"/>
        <rFont val="Palatino Linotype"/>
        <family val="1"/>
      </rPr>
      <t>3</t>
    </r>
  </si>
  <si>
    <t>ISS</t>
  </si>
  <si>
    <r>
      <t>FUNDEP Distribuidor e Contador</t>
    </r>
    <r>
      <rPr>
        <b/>
        <vertAlign val="superscript"/>
        <sz val="12"/>
        <color theme="1"/>
        <rFont val="Palatino Linotype"/>
        <family val="1"/>
      </rPr>
      <t>4</t>
    </r>
  </si>
  <si>
    <r>
      <t>FUNREJUS Protesto</t>
    </r>
    <r>
      <rPr>
        <b/>
        <vertAlign val="superscript"/>
        <sz val="12"/>
        <color theme="1"/>
        <rFont val="Palatino Linotype"/>
        <family val="1"/>
      </rPr>
      <t>4</t>
    </r>
  </si>
  <si>
    <r>
      <t>2</t>
    </r>
    <r>
      <rPr>
        <sz val="12"/>
        <rFont val="Palatino Linotype"/>
        <family val="1"/>
      </rPr>
      <t>Maringá: art. 57-A da Lei Complementar Municipal 677/2007, acrescido pelo art. 1º da Lei Complementar Municipal 1.099/2017: 2%; art. 49-A da Lei Estadual 6.149/1970, inserido pelo art. 6º da Lei Estadual 19.350/2017</t>
    </r>
  </si>
  <si>
    <r>
      <t>3</t>
    </r>
    <r>
      <rPr>
        <sz val="12"/>
        <rFont val="Palatino Linotype"/>
        <family val="1"/>
      </rPr>
      <t>Maringá: art. 57-A da Lei Complementar Municipal 677/2007, acrescido pelo art. 1º da Lei Complementar Municipal 1.099/2017: 2%; art. 49-A da Lei Estadual 6.149/1970, inserido pelo art. 6º da Lei Estadual 19.350/2017</t>
    </r>
  </si>
  <si>
    <r>
      <rPr>
        <vertAlign val="superscript"/>
        <sz val="12"/>
        <rFont val="Palatino Linotype"/>
        <family val="1"/>
      </rPr>
      <t>6</t>
    </r>
    <r>
      <rPr>
        <sz val="12"/>
        <rFont val="Palatino Linotype"/>
        <family val="1"/>
      </rPr>
      <t>Vide guia ao lado; inclui "distribuição", "averbação", "baixa ou retificação", "cálculo" e "processamento de dados"</t>
    </r>
  </si>
  <si>
    <r>
      <t>Remessa da intimação 1 (urbano até 10 km)</t>
    </r>
    <r>
      <rPr>
        <i/>
        <vertAlign val="superscript"/>
        <sz val="12"/>
        <color theme="1"/>
        <rFont val="Palatino Linotype"/>
        <family val="1"/>
      </rPr>
      <t>8</t>
    </r>
  </si>
  <si>
    <r>
      <t>Remessa da intimação 2 (urbano mais de 10 km ou rural)</t>
    </r>
    <r>
      <rPr>
        <i/>
        <vertAlign val="superscript"/>
        <sz val="12"/>
        <color theme="1"/>
        <rFont val="Palatino Linotype"/>
        <family val="1"/>
      </rPr>
      <t>9</t>
    </r>
  </si>
  <si>
    <r>
      <t>Digitalização</t>
    </r>
    <r>
      <rPr>
        <i/>
        <vertAlign val="superscript"/>
        <sz val="12"/>
        <color theme="1"/>
        <rFont val="Palatino Linotype"/>
        <family val="1"/>
      </rPr>
      <t>10</t>
    </r>
  </si>
  <si>
    <r>
      <rPr>
        <vertAlign val="superscript"/>
        <sz val="12"/>
        <rFont val="Palatino Linotype"/>
        <family val="1"/>
      </rPr>
      <t>11</t>
    </r>
    <r>
      <rPr>
        <sz val="12"/>
        <rFont val="Palatino Linotype"/>
        <family val="1"/>
      </rPr>
      <t>Cancelamento ou anulação de protesto ou averbação de pagamento</t>
    </r>
  </si>
  <si>
    <r>
      <t>FUNARPEN Protesto (selo)</t>
    </r>
    <r>
      <rPr>
        <b/>
        <vertAlign val="superscript"/>
        <sz val="12"/>
        <color theme="1"/>
        <rFont val="Palatino Linotype"/>
        <family val="1"/>
      </rPr>
      <t>5</t>
    </r>
  </si>
  <si>
    <r>
      <t>Emolumentos Protesto</t>
    </r>
    <r>
      <rPr>
        <b/>
        <vertAlign val="superscript"/>
        <sz val="12"/>
        <color theme="1"/>
        <rFont val="Palatino Linotype"/>
        <family val="1"/>
      </rPr>
      <t>1</t>
    </r>
  </si>
  <si>
    <r>
      <t>Emolumentos, ISS, FUNDEP e FUNARPEN (selo) Distribuidor e Contador</t>
    </r>
    <r>
      <rPr>
        <b/>
        <vertAlign val="superscript"/>
        <sz val="12"/>
        <color theme="1"/>
        <rFont val="Palatino Linotype"/>
        <family val="1"/>
      </rPr>
      <t>6</t>
    </r>
  </si>
  <si>
    <r>
      <t>EmolumentosDistribuição + 10% Processamento de Dados</t>
    </r>
    <r>
      <rPr>
        <b/>
        <vertAlign val="superscript"/>
        <sz val="12"/>
        <color theme="1"/>
        <rFont val="Palatino Linotype"/>
        <family val="1"/>
      </rPr>
      <t>1</t>
    </r>
  </si>
  <si>
    <r>
      <t>Emolumentos Averbação + 10% Processamento de Dados</t>
    </r>
    <r>
      <rPr>
        <b/>
        <vertAlign val="superscript"/>
        <sz val="12"/>
        <color theme="1"/>
        <rFont val="Palatino Linotype"/>
        <family val="1"/>
      </rPr>
      <t>1</t>
    </r>
  </si>
  <si>
    <r>
      <t>Emolumentos Baixa ou Retficação + 10% Processamento de Dados</t>
    </r>
    <r>
      <rPr>
        <b/>
        <vertAlign val="superscript"/>
        <sz val="12"/>
        <color theme="1"/>
        <rFont val="Palatino Linotype"/>
        <family val="1"/>
      </rPr>
      <t>1</t>
    </r>
  </si>
  <si>
    <r>
      <t>Emolumentos Cálculo + 10% Processamento de Dados</t>
    </r>
    <r>
      <rPr>
        <b/>
        <vertAlign val="superscript"/>
        <sz val="12"/>
        <color theme="1"/>
        <rFont val="Palatino Linotype"/>
        <family val="1"/>
      </rPr>
      <t>2</t>
    </r>
  </si>
  <si>
    <r>
      <t>FUNARPEN Distribuidor (selo)</t>
    </r>
    <r>
      <rPr>
        <b/>
        <vertAlign val="superscript"/>
        <sz val="12"/>
        <color theme="1"/>
        <rFont val="Palatino Linotype"/>
        <family val="1"/>
      </rPr>
      <t>5 6</t>
    </r>
  </si>
  <si>
    <t>Cancelamento + Digitalização</t>
  </si>
  <si>
    <r>
      <t>Cancelamento</t>
    </r>
    <r>
      <rPr>
        <i/>
        <vertAlign val="superscript"/>
        <sz val="12"/>
        <color theme="1"/>
        <rFont val="Palatino Linotype"/>
        <family val="1"/>
      </rPr>
      <t>11</t>
    </r>
  </si>
  <si>
    <t>Certidão</t>
  </si>
  <si>
    <t>Conciliação e mediação - Primeira 1h</t>
  </si>
  <si>
    <t>Conciliação e mediação - A cada fração adicional de 15 min</t>
  </si>
  <si>
    <t>Apostilamento</t>
  </si>
  <si>
    <r>
      <t>Informação SERASA/Boa Vista</t>
    </r>
    <r>
      <rPr>
        <vertAlign val="superscript"/>
        <sz val="12"/>
        <color theme="1"/>
        <rFont val="Palatino Linotype"/>
        <family val="1"/>
      </rPr>
      <t>12</t>
    </r>
  </si>
  <si>
    <r>
      <rPr>
        <vertAlign val="superscript"/>
        <sz val="12"/>
        <rFont val="Palatino Linotype"/>
        <family val="1"/>
      </rPr>
      <t>4</t>
    </r>
    <r>
      <rPr>
        <sz val="12"/>
        <rFont val="Palatino Linotype"/>
        <family val="1"/>
      </rPr>
      <t>Lei Estadual 12.216/1998; anotação: 0,2% do valor do título, limitado ao teto máximo de 53 UPF/PR; cancelamento, certidão, informação SERASA/Boa Vista, autenticação, conciliação e mediação e apostilamento: 25% do valor dos emolumentos</t>
    </r>
  </si>
  <si>
    <r>
      <rPr>
        <vertAlign val="superscript"/>
        <sz val="12"/>
        <rFont val="Palatino Linotype"/>
        <family val="1"/>
      </rPr>
      <t>5</t>
    </r>
    <r>
      <rPr>
        <sz val="12"/>
        <rFont val="Palatino Linotype"/>
        <family val="1"/>
      </rPr>
      <t>Lei Estadual 13.228/2001</t>
    </r>
  </si>
  <si>
    <r>
      <rPr>
        <vertAlign val="superscript"/>
        <sz val="12"/>
        <rFont val="Palatino Linotype"/>
        <family val="1"/>
      </rPr>
      <t>8</t>
    </r>
    <r>
      <rPr>
        <sz val="12"/>
        <rFont val="Palatino Linotype"/>
        <family val="1"/>
      </rPr>
      <t>Art. 790, § 2º, do Provimento CGJPR 249/2013; Leis Estaduais 6.149/1970, 19.350/2017 e 21.869/2023</t>
    </r>
  </si>
  <si>
    <r>
      <rPr>
        <vertAlign val="superscript"/>
        <sz val="12"/>
        <rFont val="Palatino Linotype"/>
        <family val="1"/>
      </rPr>
      <t>10</t>
    </r>
    <r>
      <rPr>
        <sz val="12"/>
        <rFont val="Palatino Linotype"/>
        <family val="1"/>
      </rPr>
      <t>Art. 846 do Provimento CGJPR 249/2013; Leis Estaduais 6.149/1970, 19.350/2017 e 21.869/2023; art. 37, § 3º, da Lei Federal 9.492/1997</t>
    </r>
  </si>
  <si>
    <r>
      <rPr>
        <vertAlign val="superscript"/>
        <sz val="12"/>
        <rFont val="Palatino Linotype"/>
        <family val="1"/>
      </rPr>
      <t>2</t>
    </r>
    <r>
      <rPr>
        <sz val="12"/>
        <rFont val="Palatino Linotype"/>
        <family val="1"/>
      </rPr>
      <t>Leis Estaduais 6.149/1970, 19.350/2017 e 21.868/2023</t>
    </r>
  </si>
  <si>
    <r>
      <t>1</t>
    </r>
    <r>
      <rPr>
        <sz val="12"/>
        <rFont val="Palatino Linotype"/>
        <family val="1"/>
      </rPr>
      <t>Leis Estaduais 6.149/1970, 19.350/2017 e 21.869/2023</t>
    </r>
  </si>
  <si>
    <r>
      <rPr>
        <vertAlign val="superscript"/>
        <sz val="12"/>
        <rFont val="Palatino Linotype"/>
        <family val="1"/>
      </rPr>
      <t>9</t>
    </r>
    <r>
      <rPr>
        <sz val="12"/>
        <rFont val="Palatino Linotype"/>
        <family val="1"/>
      </rPr>
      <t>Art. 790, § 3º, do Provimento CGJPR 249/2013; Leis Estaduais 6.149/1970, 19.350/2017 e 21.869/2023</t>
    </r>
  </si>
  <si>
    <r>
      <rPr>
        <vertAlign val="superscript"/>
        <sz val="12"/>
        <color theme="1"/>
        <rFont val="Palatino Linotype"/>
        <family val="1"/>
      </rPr>
      <t>12</t>
    </r>
    <r>
      <rPr>
        <sz val="12"/>
        <color theme="1"/>
        <rFont val="Palatino Linotype"/>
        <family val="1"/>
      </rPr>
      <t>1 selo FUNARPEN (R$ 1,00) para cada certidão diária contendo as informações</t>
    </r>
  </si>
  <si>
    <t>TABELA DE CUSTAS COMPLETAS DO PROTESTO 2026 v. 1</t>
  </si>
  <si>
    <r>
      <t xml:space="preserve">Maringá, PR, </t>
    </r>
    <r>
      <rPr>
        <b/>
        <sz val="16"/>
        <color rgb="FFFF0000"/>
        <rFont val="Palatino Linotype"/>
        <family val="1"/>
      </rPr>
      <t>28 de abril de 2026</t>
    </r>
  </si>
  <si>
    <t>TABELA DE CUSTAS DO DISTRIBUIDOR E CONTADOR 2026 v. 1</t>
  </si>
  <si>
    <r>
      <t xml:space="preserve">Maringá, PR, </t>
    </r>
    <r>
      <rPr>
        <b/>
        <sz val="16"/>
        <color rgb="FFFF0000"/>
        <rFont val="Palatino Linotype"/>
        <family val="1"/>
      </rPr>
      <t>27 de abril de 2026</t>
    </r>
  </si>
  <si>
    <r>
      <rPr>
        <vertAlign val="superscript"/>
        <sz val="12"/>
        <rFont val="Palatino Linotype"/>
        <family val="1"/>
      </rPr>
      <t>6</t>
    </r>
    <r>
      <rPr>
        <sz val="12"/>
        <rFont val="Palatino Linotype"/>
        <family val="1"/>
      </rPr>
      <t>SEI 0062660-85.2022.8.16.6000/TJPR</t>
    </r>
  </si>
  <si>
    <r>
      <rPr>
        <vertAlign val="superscript"/>
        <sz val="12"/>
        <rFont val="Palatino Linotype"/>
        <family val="1"/>
      </rPr>
      <t>1</t>
    </r>
    <r>
      <rPr>
        <sz val="12"/>
        <rFont val="Palatino Linotype"/>
        <family val="1"/>
      </rPr>
      <t>PP 0008386-14.2021.2.00.0000/CNJ; SEI 0062660-85.2022.8.16.6000/TJPR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</si>
</sst>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R$&quot;\ #,##0.00"/>
    <numFmt numFmtId="165" formatCode="&quot;R$&quot;\ #,##0.000"/>
    <numFmt numFmtId="166" formatCode="&quot;R$&quot;#,##0.00"/>
    <numFmt numFmtId="167" formatCode="&quot;R$&quot;#,##0.000"/>
    <numFmt numFmtId="168" formatCode="0.0%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Palatino Linotype"/>
      <family val="1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</font>
    <font>
      <sz val="16"/>
      <color theme="1"/>
      <name val="Calibri"/>
      <family val="2"/>
      <scheme val="minor"/>
    </font>
    <font>
      <sz val="12"/>
      <name val="Palatino Linotype"/>
      <family val="1"/>
    </font>
    <font>
      <b/>
      <vertAlign val="superscript"/>
      <sz val="12"/>
      <color theme="1"/>
      <name val="Palatino Linotype"/>
      <family val="1"/>
    </font>
    <font>
      <vertAlign val="superscript"/>
      <sz val="12"/>
      <name val="Palatino Linotype"/>
      <family val="1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2"/>
      <color rgb="FFFF0000"/>
      <name val="Palatino Linotype"/>
      <family val="1"/>
    </font>
    <font>
      <i/>
      <sz val="12"/>
      <name val="Palatino Linotype"/>
      <family val="1"/>
    </font>
    <font>
      <i/>
      <vertAlign val="superscript"/>
      <sz val="12"/>
      <color theme="1"/>
      <name val="Palatino Linotype"/>
      <family val="1"/>
    </font>
    <font>
      <b/>
      <i/>
      <sz val="12"/>
      <color theme="1"/>
      <name val="Palatino Linotype"/>
      <family val="1"/>
    </font>
    <font>
      <sz val="11"/>
      <name val="Calibri"/>
      <family val="2"/>
      <scheme val="minor"/>
    </font>
    <font>
      <b/>
      <sz val="16"/>
      <name val="Palatino Linotype"/>
      <family val="1"/>
    </font>
    <font>
      <b/>
      <sz val="16"/>
      <color rgb="FFFF0000"/>
      <name val="Palatino Linotype"/>
      <family val="1"/>
    </font>
    <font>
      <vertAlign val="superscript"/>
      <sz val="12"/>
      <color theme="1"/>
      <name val="Palatino Linotype"/>
      <family val="1"/>
    </font>
    <font>
      <sz val="12"/>
      <color rgb="FFFF0000"/>
      <name val="Palatino Linotyp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97">
    <xf numFmtId="0" fontId="0" fillId="0" borderId="0" xfId="0"/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166" fontId="0" fillId="0" borderId="0" xfId="0" applyNumberFormat="1"/>
    <xf numFmtId="0" fontId="5" fillId="0" borderId="2" xfId="0" applyFont="1" applyBorder="1"/>
    <xf numFmtId="0" fontId="5" fillId="0" borderId="1" xfId="0" applyFont="1" applyBorder="1"/>
    <xf numFmtId="164" fontId="5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164" fontId="5" fillId="0" borderId="6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10" fillId="0" borderId="0" xfId="0" applyFont="1"/>
    <xf numFmtId="0" fontId="4" fillId="0" borderId="2" xfId="0" applyFont="1" applyBorder="1"/>
    <xf numFmtId="0" fontId="4" fillId="0" borderId="1" xfId="0" applyFont="1" applyBorder="1"/>
    <xf numFmtId="164" fontId="4" fillId="0" borderId="1" xfId="0" applyNumberFormat="1" applyFont="1" applyBorder="1" applyAlignment="1">
      <alignment horizontal="center" vertical="center"/>
    </xf>
    <xf numFmtId="0" fontId="4" fillId="0" borderId="8" xfId="0" applyFont="1" applyBorder="1"/>
    <xf numFmtId="0" fontId="4" fillId="0" borderId="9" xfId="0" applyFont="1" applyBorder="1"/>
    <xf numFmtId="164" fontId="4" fillId="0" borderId="9" xfId="0" applyNumberFormat="1" applyFont="1" applyBorder="1" applyAlignment="1">
      <alignment horizontal="center" vertical="center"/>
    </xf>
    <xf numFmtId="0" fontId="9" fillId="0" borderId="0" xfId="0" applyFont="1"/>
    <xf numFmtId="164" fontId="4" fillId="4" borderId="1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11" fillId="0" borderId="1" xfId="0" applyNumberFormat="1" applyFont="1" applyBorder="1"/>
    <xf numFmtId="167" fontId="0" fillId="0" borderId="0" xfId="0" applyNumberFormat="1"/>
    <xf numFmtId="164" fontId="4" fillId="0" borderId="1" xfId="0" quotePrefix="1" applyNumberFormat="1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164" fontId="4" fillId="0" borderId="4" xfId="0" applyNumberFormat="1" applyFont="1" applyBorder="1"/>
    <xf numFmtId="165" fontId="4" fillId="0" borderId="4" xfId="0" applyNumberFormat="1" applyFont="1" applyBorder="1"/>
    <xf numFmtId="166" fontId="4" fillId="0" borderId="4" xfId="0" applyNumberFormat="1" applyFont="1" applyBorder="1"/>
    <xf numFmtId="166" fontId="4" fillId="0" borderId="5" xfId="0" applyNumberFormat="1" applyFont="1" applyBorder="1"/>
    <xf numFmtId="167" fontId="10" fillId="0" borderId="0" xfId="0" applyNumberFormat="1" applyFont="1"/>
    <xf numFmtId="0" fontId="4" fillId="0" borderId="14" xfId="0" applyFont="1" applyBorder="1"/>
    <xf numFmtId="0" fontId="4" fillId="0" borderId="15" xfId="0" applyFont="1" applyBorder="1"/>
    <xf numFmtId="0" fontId="3" fillId="0" borderId="15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6" fontId="3" fillId="0" borderId="15" xfId="0" applyNumberFormat="1" applyFont="1" applyBorder="1" applyAlignment="1">
      <alignment horizontal="center" vertical="center" wrapText="1"/>
    </xf>
    <xf numFmtId="166" fontId="3" fillId="0" borderId="16" xfId="0" applyNumberFormat="1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164" fontId="5" fillId="0" borderId="4" xfId="0" applyNumberFormat="1" applyFont="1" applyBorder="1" applyAlignment="1">
      <alignment horizontal="center" vertical="center"/>
    </xf>
    <xf numFmtId="164" fontId="11" fillId="0" borderId="4" xfId="0" applyNumberFormat="1" applyFont="1" applyBorder="1"/>
    <xf numFmtId="164" fontId="5" fillId="0" borderId="5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7" fontId="2" fillId="2" borderId="12" xfId="0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8" fontId="2" fillId="2" borderId="12" xfId="0" applyNumberFormat="1" applyFont="1" applyFill="1" applyBorder="1" applyAlignment="1">
      <alignment horizontal="center" vertical="center"/>
    </xf>
    <xf numFmtId="167" fontId="5" fillId="0" borderId="1" xfId="0" applyNumberFormat="1" applyFont="1" applyBorder="1"/>
    <xf numFmtId="167" fontId="5" fillId="0" borderId="7" xfId="0" applyNumberFormat="1" applyFont="1" applyBorder="1"/>
    <xf numFmtId="0" fontId="3" fillId="0" borderId="9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 wrapText="1"/>
    </xf>
    <xf numFmtId="0" fontId="4" fillId="4" borderId="2" xfId="0" applyFont="1" applyFill="1" applyBorder="1"/>
    <xf numFmtId="0" fontId="4" fillId="4" borderId="1" xfId="0" applyFont="1" applyFill="1" applyBorder="1"/>
    <xf numFmtId="0" fontId="2" fillId="2" borderId="23" xfId="0" applyFont="1" applyFill="1" applyBorder="1" applyAlignment="1">
      <alignment horizontal="center" vertical="center"/>
    </xf>
    <xf numFmtId="168" fontId="2" fillId="2" borderId="24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7" fontId="4" fillId="0" borderId="8" xfId="0" quotePrefix="1" applyNumberFormat="1" applyFont="1" applyBorder="1" applyAlignment="1">
      <alignment horizontal="center" vertical="center"/>
    </xf>
    <xf numFmtId="167" fontId="4" fillId="0" borderId="9" xfId="0" quotePrefix="1" applyNumberFormat="1" applyFont="1" applyBorder="1" applyAlignment="1">
      <alignment horizontal="center" vertical="center"/>
    </xf>
    <xf numFmtId="167" fontId="17" fillId="0" borderId="1" xfId="0" applyNumberFormat="1" applyFont="1" applyBorder="1"/>
    <xf numFmtId="167" fontId="5" fillId="0" borderId="0" xfId="0" applyNumberFormat="1" applyFont="1"/>
    <xf numFmtId="164" fontId="5" fillId="0" borderId="0" xfId="0" applyNumberFormat="1" applyFont="1" applyAlignment="1">
      <alignment horizontal="center" vertical="center"/>
    </xf>
    <xf numFmtId="164" fontId="4" fillId="0" borderId="0" xfId="0" quotePrefix="1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0" fontId="7" fillId="4" borderId="2" xfId="0" applyFont="1" applyFill="1" applyBorder="1"/>
    <xf numFmtId="0" fontId="7" fillId="4" borderId="1" xfId="0" applyFont="1" applyFill="1" applyBorder="1"/>
    <xf numFmtId="164" fontId="7" fillId="4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0" fontId="18" fillId="0" borderId="0" xfId="0" applyFont="1"/>
    <xf numFmtId="0" fontId="4" fillId="0" borderId="0" xfId="0" applyFont="1"/>
    <xf numFmtId="164" fontId="22" fillId="4" borderId="1" xfId="0" applyNumberFormat="1" applyFont="1" applyFill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3">
    <cellStyle name="Normal" xfId="0" builtinId="0"/>
    <cellStyle name="Normal 2" xfId="1" xr:uid="{AB5670B3-8607-41FB-BF75-F397A0037B3B}"/>
    <cellStyle name="Normal 3" xfId="2" xr:uid="{0E037F57-AE89-491C-A470-BF1C86DBD4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3/Tabela%20de%20Custas%20Completas%20do%20Protesto%202023%20v.%205%20-%2003.07.2023%20(MARING&#193;).xlsx" TargetMode="External"/><Relationship Id="rId2" Type="http://schemas.openxmlformats.org/officeDocument/2006/relationships/externalLinkPath" Target="file:///K:\Meus%20Arquivos\Financeiro%20-%20Protesto\Emolumentos\2023\Tabela%20de%20Custas%20Completas%20do%20Protesto%202023%20v.%205%20-%2003.07.2023%20(MARING&#193;).xlsx" TargetMode="External"/><Relationship Id="rId1" Type="http://schemas.openxmlformats.org/officeDocument/2006/relationships/externalLinkPath" Target="/Meus%20Arquivos/Financeiro%20-%20Protesto/Emolumentos/2023/Tabela%20de%20Custas%20Completas%20do%20Protesto%202023%20v.%205%20-%2003.07.2023%20(MARING&#19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mpleta"/>
      <sheetName val="Distribuidor e Contador 1"/>
      <sheetName val="Distribuidor e Contador 2"/>
      <sheetName val="Plan1"/>
    </sheetNames>
    <sheetDataSet>
      <sheetData sheetId="0">
        <row r="4">
          <cell r="B4">
            <v>0.02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5"/>
  <sheetViews>
    <sheetView tabSelected="1" zoomScale="70" zoomScaleNormal="70" workbookViewId="0">
      <selection activeCell="A2" sqref="A2:L2"/>
    </sheetView>
  </sheetViews>
  <sheetFormatPr defaultRowHeight="14.4" x14ac:dyDescent="0.3"/>
  <cols>
    <col min="1" max="1" width="15.77734375" customWidth="1"/>
    <col min="2" max="2" width="60.77734375" customWidth="1"/>
    <col min="3" max="4" width="15.77734375" customWidth="1"/>
    <col min="5" max="7" width="15.77734375" style="1" customWidth="1"/>
    <col min="8" max="9" width="15.77734375" style="3" customWidth="1"/>
    <col min="10" max="10" width="15.77734375" style="1" customWidth="1"/>
    <col min="11" max="12" width="15.77734375" style="4" customWidth="1"/>
  </cols>
  <sheetData>
    <row r="1" spans="1:12" s="10" customFormat="1" ht="24" thickBot="1" x14ac:dyDescent="0.45">
      <c r="A1" s="86" t="s">
        <v>66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8"/>
    </row>
    <row r="2" spans="1:12" s="10" customFormat="1" ht="24" thickBot="1" x14ac:dyDescent="0.45">
      <c r="A2" s="83" t="s">
        <v>67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 s="10" customFormat="1" ht="24" thickBot="1" x14ac:dyDescent="0.45">
      <c r="A3" s="49" t="s">
        <v>31</v>
      </c>
      <c r="B3" s="50">
        <v>0.27700000000000002</v>
      </c>
      <c r="C3" s="89"/>
      <c r="D3" s="90"/>
      <c r="E3" s="90"/>
      <c r="F3" s="90"/>
      <c r="G3" s="90"/>
      <c r="H3" s="90"/>
      <c r="I3" s="90"/>
      <c r="J3" s="90"/>
      <c r="K3" s="90"/>
      <c r="L3" s="91"/>
    </row>
    <row r="4" spans="1:12" s="10" customFormat="1" ht="24" thickBot="1" x14ac:dyDescent="0.45">
      <c r="A4" s="49" t="s">
        <v>33</v>
      </c>
      <c r="B4" s="53">
        <v>0.02</v>
      </c>
      <c r="C4" s="92"/>
      <c r="D4" s="93"/>
      <c r="E4" s="93"/>
      <c r="F4" s="93"/>
      <c r="G4" s="93"/>
      <c r="H4" s="93"/>
      <c r="I4" s="93"/>
      <c r="J4" s="93"/>
      <c r="K4" s="93"/>
      <c r="L4" s="94"/>
    </row>
    <row r="5" spans="1:12" ht="17.25" customHeight="1" x14ac:dyDescent="0.4">
      <c r="A5" s="28"/>
      <c r="B5" s="29"/>
      <c r="C5" s="82" t="s">
        <v>9</v>
      </c>
      <c r="D5" s="82"/>
      <c r="E5" s="30"/>
      <c r="F5" s="30"/>
      <c r="G5" s="30"/>
      <c r="H5" s="31"/>
      <c r="I5" s="31"/>
      <c r="J5" s="30"/>
      <c r="K5" s="32"/>
      <c r="L5" s="33"/>
    </row>
    <row r="6" spans="1:12" ht="135" customHeight="1" thickBot="1" x14ac:dyDescent="0.45">
      <c r="A6" s="35"/>
      <c r="B6" s="36"/>
      <c r="C6" s="37" t="s">
        <v>7</v>
      </c>
      <c r="D6" s="37" t="s">
        <v>8</v>
      </c>
      <c r="E6" s="38" t="s">
        <v>44</v>
      </c>
      <c r="F6" s="39" t="s">
        <v>19</v>
      </c>
      <c r="G6" s="39" t="s">
        <v>32</v>
      </c>
      <c r="H6" s="39" t="s">
        <v>35</v>
      </c>
      <c r="I6" s="40" t="s">
        <v>43</v>
      </c>
      <c r="J6" s="38" t="s">
        <v>45</v>
      </c>
      <c r="K6" s="41" t="s">
        <v>21</v>
      </c>
      <c r="L6" s="42" t="s">
        <v>22</v>
      </c>
    </row>
    <row r="7" spans="1:12" ht="17.100000000000001" customHeight="1" x14ac:dyDescent="0.4">
      <c r="A7" s="43" t="s">
        <v>13</v>
      </c>
      <c r="B7" s="44" t="s">
        <v>39</v>
      </c>
      <c r="C7" s="45"/>
      <c r="D7" s="45"/>
      <c r="E7" s="45">
        <f>80*B3</f>
        <v>22.16</v>
      </c>
      <c r="F7" s="45">
        <f>E7*B4</f>
        <v>0.44</v>
      </c>
      <c r="G7" s="45">
        <f>E7*5%</f>
        <v>1.1100000000000001</v>
      </c>
      <c r="H7" s="45"/>
      <c r="I7" s="45"/>
      <c r="J7" s="46"/>
      <c r="K7" s="45"/>
      <c r="L7" s="47">
        <f>SUM(E7:J7)</f>
        <v>23.71</v>
      </c>
    </row>
    <row r="8" spans="1:12" ht="17.100000000000001" customHeight="1" x14ac:dyDescent="0.4">
      <c r="A8" s="5" t="s">
        <v>14</v>
      </c>
      <c r="B8" s="6" t="s">
        <v>40</v>
      </c>
      <c r="C8" s="7"/>
      <c r="D8" s="7"/>
      <c r="E8" s="7">
        <f>150*B3</f>
        <v>41.55</v>
      </c>
      <c r="F8" s="7">
        <f>E8*B4</f>
        <v>0.83</v>
      </c>
      <c r="G8" s="7">
        <f t="shared" ref="G8:G63" si="0">E8*5%</f>
        <v>2.08</v>
      </c>
      <c r="H8" s="7"/>
      <c r="I8" s="7"/>
      <c r="J8" s="25"/>
      <c r="K8" s="7"/>
      <c r="L8" s="12">
        <f>SUM(E8:J8)</f>
        <v>44.46</v>
      </c>
    </row>
    <row r="9" spans="1:12" ht="17.100000000000001" customHeight="1" x14ac:dyDescent="0.4">
      <c r="A9" s="5" t="s">
        <v>11</v>
      </c>
      <c r="B9" s="6" t="s">
        <v>41</v>
      </c>
      <c r="C9" s="7"/>
      <c r="D9" s="7"/>
      <c r="E9" s="7">
        <f>3*B3</f>
        <v>0.83</v>
      </c>
      <c r="F9" s="7">
        <f>E9*B4</f>
        <v>0.02</v>
      </c>
      <c r="G9" s="7">
        <f t="shared" si="0"/>
        <v>0.04</v>
      </c>
      <c r="H9" s="7"/>
      <c r="I9" s="7">
        <v>0.25</v>
      </c>
      <c r="J9" s="7"/>
      <c r="K9" s="7"/>
      <c r="L9" s="12">
        <f>SUM(E9:J9)</f>
        <v>1.1399999999999999</v>
      </c>
    </row>
    <row r="10" spans="1:12" ht="17.100000000000001" customHeight="1" x14ac:dyDescent="0.4">
      <c r="A10" s="5" t="s">
        <v>0</v>
      </c>
      <c r="B10" s="6" t="s">
        <v>1</v>
      </c>
      <c r="C10" s="7">
        <v>0</v>
      </c>
      <c r="D10" s="7">
        <v>192.78</v>
      </c>
      <c r="E10" s="52">
        <f>180*B3</f>
        <v>49.86</v>
      </c>
      <c r="F10" s="7">
        <f>E10*B4</f>
        <v>1</v>
      </c>
      <c r="G10" s="7">
        <f t="shared" si="0"/>
        <v>2.4900000000000002</v>
      </c>
      <c r="H10" s="8" t="s">
        <v>10</v>
      </c>
      <c r="I10" s="7">
        <v>4</v>
      </c>
      <c r="J10" s="7">
        <f>'Distribuidor e Contador'!L10</f>
        <v>13.04</v>
      </c>
      <c r="K10" s="7">
        <f>SUM(E10:J10)</f>
        <v>70.39</v>
      </c>
      <c r="L10" s="12"/>
    </row>
    <row r="11" spans="1:12" ht="17.100000000000001" customHeight="1" x14ac:dyDescent="0.4">
      <c r="A11" s="5" t="s">
        <v>0</v>
      </c>
      <c r="B11" s="6" t="s">
        <v>1</v>
      </c>
      <c r="C11" s="7">
        <f>D10+0.01</f>
        <v>192.79</v>
      </c>
      <c r="D11" s="7">
        <v>1928.1</v>
      </c>
      <c r="E11" s="52">
        <f>180*B3</f>
        <v>49.86</v>
      </c>
      <c r="F11" s="7">
        <f>E11*B4</f>
        <v>1</v>
      </c>
      <c r="G11" s="7">
        <f t="shared" si="0"/>
        <v>2.4900000000000002</v>
      </c>
      <c r="H11" s="8" t="s">
        <v>10</v>
      </c>
      <c r="I11" s="7">
        <v>4</v>
      </c>
      <c r="J11" s="7">
        <f>'Distribuidor e Contador'!L11</f>
        <v>13.04</v>
      </c>
      <c r="K11" s="7">
        <f t="shared" ref="K11:K21" si="1">SUM(E11:J11)</f>
        <v>70.39</v>
      </c>
      <c r="L11" s="12"/>
    </row>
    <row r="12" spans="1:12" ht="17.100000000000001" customHeight="1" x14ac:dyDescent="0.4">
      <c r="A12" s="5" t="s">
        <v>0</v>
      </c>
      <c r="B12" s="6" t="s">
        <v>1</v>
      </c>
      <c r="C12" s="7">
        <f>D11+0.01</f>
        <v>1928.11</v>
      </c>
      <c r="D12" s="7">
        <f>12000*B3</f>
        <v>3324</v>
      </c>
      <c r="E12" s="7">
        <f>180*B3</f>
        <v>49.86</v>
      </c>
      <c r="F12" s="7">
        <f>E12*B4</f>
        <v>1</v>
      </c>
      <c r="G12" s="7">
        <f t="shared" si="0"/>
        <v>2.4900000000000002</v>
      </c>
      <c r="H12" s="8" t="s">
        <v>10</v>
      </c>
      <c r="I12" s="7">
        <v>4</v>
      </c>
      <c r="J12" s="7">
        <f>'Distribuidor e Contador'!L12</f>
        <v>13.04</v>
      </c>
      <c r="K12" s="7">
        <f t="shared" si="1"/>
        <v>70.39</v>
      </c>
      <c r="L12" s="12"/>
    </row>
    <row r="13" spans="1:12" ht="17.100000000000001" customHeight="1" x14ac:dyDescent="0.4">
      <c r="A13" s="5" t="s">
        <v>0</v>
      </c>
      <c r="B13" s="6" t="s">
        <v>1</v>
      </c>
      <c r="C13" s="7">
        <f t="shared" ref="C13:C22" si="2">D12+0.01</f>
        <v>3324.01</v>
      </c>
      <c r="D13" s="7">
        <f>16000*B3</f>
        <v>4432</v>
      </c>
      <c r="E13" s="7">
        <f>240*B3</f>
        <v>66.48</v>
      </c>
      <c r="F13" s="7">
        <f>E13*B4</f>
        <v>1.33</v>
      </c>
      <c r="G13" s="7">
        <f t="shared" si="0"/>
        <v>3.32</v>
      </c>
      <c r="H13" s="8" t="s">
        <v>10</v>
      </c>
      <c r="I13" s="7">
        <v>4</v>
      </c>
      <c r="J13" s="7">
        <f>'Distribuidor e Contador'!L13</f>
        <v>13.04</v>
      </c>
      <c r="K13" s="7">
        <f t="shared" si="1"/>
        <v>88.17</v>
      </c>
      <c r="L13" s="12"/>
    </row>
    <row r="14" spans="1:12" ht="17.100000000000001" customHeight="1" x14ac:dyDescent="0.4">
      <c r="A14" s="5" t="s">
        <v>0</v>
      </c>
      <c r="B14" s="6" t="s">
        <v>1</v>
      </c>
      <c r="C14" s="7">
        <f t="shared" si="2"/>
        <v>4432.01</v>
      </c>
      <c r="D14" s="7">
        <f>24000*B3</f>
        <v>6648</v>
      </c>
      <c r="E14" s="7">
        <f>360*B3</f>
        <v>99.72</v>
      </c>
      <c r="F14" s="7">
        <f>E14*B4</f>
        <v>1.99</v>
      </c>
      <c r="G14" s="7">
        <f t="shared" si="0"/>
        <v>4.99</v>
      </c>
      <c r="H14" s="8" t="s">
        <v>10</v>
      </c>
      <c r="I14" s="7">
        <v>4</v>
      </c>
      <c r="J14" s="7">
        <f>'Distribuidor e Contador'!L14</f>
        <v>13.04</v>
      </c>
      <c r="K14" s="7">
        <f t="shared" si="1"/>
        <v>123.74</v>
      </c>
      <c r="L14" s="12"/>
    </row>
    <row r="15" spans="1:12" ht="17.100000000000001" customHeight="1" x14ac:dyDescent="0.4">
      <c r="A15" s="5" t="s">
        <v>0</v>
      </c>
      <c r="B15" s="6" t="s">
        <v>1</v>
      </c>
      <c r="C15" s="7">
        <f t="shared" si="2"/>
        <v>6648.01</v>
      </c>
      <c r="D15" s="7">
        <f>32000*B3</f>
        <v>8864</v>
      </c>
      <c r="E15" s="7">
        <f>480*B3</f>
        <v>132.96</v>
      </c>
      <c r="F15" s="7">
        <f>E15*B4</f>
        <v>2.66</v>
      </c>
      <c r="G15" s="7">
        <f t="shared" si="0"/>
        <v>6.65</v>
      </c>
      <c r="H15" s="8" t="s">
        <v>10</v>
      </c>
      <c r="I15" s="7">
        <v>4</v>
      </c>
      <c r="J15" s="7">
        <f>'Distribuidor e Contador'!L15</f>
        <v>13.04</v>
      </c>
      <c r="K15" s="7">
        <f t="shared" si="1"/>
        <v>159.31</v>
      </c>
      <c r="L15" s="12"/>
    </row>
    <row r="16" spans="1:12" ht="17.100000000000001" customHeight="1" x14ac:dyDescent="0.4">
      <c r="A16" s="5" t="s">
        <v>0</v>
      </c>
      <c r="B16" s="6" t="s">
        <v>1</v>
      </c>
      <c r="C16" s="7">
        <f t="shared" si="2"/>
        <v>8864.01</v>
      </c>
      <c r="D16" s="7">
        <f>40000*B3</f>
        <v>11080</v>
      </c>
      <c r="E16" s="7">
        <f>530*B3</f>
        <v>146.81</v>
      </c>
      <c r="F16" s="7">
        <f>E16*B4</f>
        <v>2.94</v>
      </c>
      <c r="G16" s="7">
        <f t="shared" si="0"/>
        <v>7.34</v>
      </c>
      <c r="H16" s="8" t="s">
        <v>10</v>
      </c>
      <c r="I16" s="7">
        <v>4</v>
      </c>
      <c r="J16" s="7">
        <f>'Distribuidor e Contador'!L16</f>
        <v>13.04</v>
      </c>
      <c r="K16" s="7">
        <f t="shared" si="1"/>
        <v>174.13</v>
      </c>
      <c r="L16" s="12"/>
    </row>
    <row r="17" spans="1:12" ht="17.100000000000001" customHeight="1" x14ac:dyDescent="0.4">
      <c r="A17" s="5" t="s">
        <v>0</v>
      </c>
      <c r="B17" s="6" t="s">
        <v>1</v>
      </c>
      <c r="C17" s="7">
        <f t="shared" si="2"/>
        <v>11080.01</v>
      </c>
      <c r="D17" s="7">
        <f>48000*B3</f>
        <v>13296</v>
      </c>
      <c r="E17" s="7">
        <f>580*B3</f>
        <v>160.66</v>
      </c>
      <c r="F17" s="7">
        <f>E17*B4</f>
        <v>3.21</v>
      </c>
      <c r="G17" s="7">
        <f t="shared" si="0"/>
        <v>8.0299999999999994</v>
      </c>
      <c r="H17" s="8" t="s">
        <v>10</v>
      </c>
      <c r="I17" s="7">
        <v>4</v>
      </c>
      <c r="J17" s="7">
        <f>'Distribuidor e Contador'!L17</f>
        <v>13.04</v>
      </c>
      <c r="K17" s="7">
        <f t="shared" si="1"/>
        <v>188.94</v>
      </c>
      <c r="L17" s="12"/>
    </row>
    <row r="18" spans="1:12" ht="17.100000000000001" customHeight="1" x14ac:dyDescent="0.4">
      <c r="A18" s="5" t="s">
        <v>0</v>
      </c>
      <c r="B18" s="6" t="s">
        <v>1</v>
      </c>
      <c r="C18" s="7">
        <f t="shared" si="2"/>
        <v>13296.01</v>
      </c>
      <c r="D18" s="7">
        <f>56000*B3</f>
        <v>15512</v>
      </c>
      <c r="E18" s="7">
        <f>630*B3</f>
        <v>174.51</v>
      </c>
      <c r="F18" s="7">
        <f>E18*B4</f>
        <v>3.49</v>
      </c>
      <c r="G18" s="7">
        <f t="shared" si="0"/>
        <v>8.73</v>
      </c>
      <c r="H18" s="8" t="s">
        <v>10</v>
      </c>
      <c r="I18" s="7">
        <v>4</v>
      </c>
      <c r="J18" s="7">
        <f>'Distribuidor e Contador'!L18</f>
        <v>13.04</v>
      </c>
      <c r="K18" s="7">
        <f t="shared" si="1"/>
        <v>203.77</v>
      </c>
      <c r="L18" s="12"/>
    </row>
    <row r="19" spans="1:12" ht="17.100000000000001" customHeight="1" x14ac:dyDescent="0.4">
      <c r="A19" s="5" t="s">
        <v>0</v>
      </c>
      <c r="B19" s="6" t="s">
        <v>1</v>
      </c>
      <c r="C19" s="7">
        <f t="shared" si="2"/>
        <v>15512.01</v>
      </c>
      <c r="D19" s="7">
        <f>64000*B3</f>
        <v>17728</v>
      </c>
      <c r="E19" s="7">
        <f>680*B3</f>
        <v>188.36</v>
      </c>
      <c r="F19" s="7">
        <f>E19*B4</f>
        <v>3.77</v>
      </c>
      <c r="G19" s="7">
        <f t="shared" si="0"/>
        <v>9.42</v>
      </c>
      <c r="H19" s="8" t="s">
        <v>10</v>
      </c>
      <c r="I19" s="7">
        <v>4</v>
      </c>
      <c r="J19" s="7">
        <f>'Distribuidor e Contador'!L19</f>
        <v>13.04</v>
      </c>
      <c r="K19" s="7">
        <f t="shared" si="1"/>
        <v>218.59</v>
      </c>
      <c r="L19" s="12"/>
    </row>
    <row r="20" spans="1:12" ht="17.100000000000001" customHeight="1" x14ac:dyDescent="0.4">
      <c r="A20" s="5" t="s">
        <v>0</v>
      </c>
      <c r="B20" s="6" t="s">
        <v>1</v>
      </c>
      <c r="C20" s="7">
        <f t="shared" si="2"/>
        <v>17728.009999999998</v>
      </c>
      <c r="D20" s="7">
        <f>72000*B3</f>
        <v>19944</v>
      </c>
      <c r="E20" s="7">
        <f>730*B3</f>
        <v>202.21</v>
      </c>
      <c r="F20" s="7">
        <f>E20*B4</f>
        <v>4.04</v>
      </c>
      <c r="G20" s="7">
        <f t="shared" si="0"/>
        <v>10.11</v>
      </c>
      <c r="H20" s="8" t="s">
        <v>10</v>
      </c>
      <c r="I20" s="7">
        <v>4</v>
      </c>
      <c r="J20" s="7">
        <f>'Distribuidor e Contador'!L20</f>
        <v>13.04</v>
      </c>
      <c r="K20" s="7">
        <f t="shared" si="1"/>
        <v>233.4</v>
      </c>
      <c r="L20" s="12"/>
    </row>
    <row r="21" spans="1:12" ht="17.100000000000001" customHeight="1" x14ac:dyDescent="0.4">
      <c r="A21" s="5" t="s">
        <v>0</v>
      </c>
      <c r="B21" s="6" t="s">
        <v>1</v>
      </c>
      <c r="C21" s="7">
        <f t="shared" si="2"/>
        <v>19944.009999999998</v>
      </c>
      <c r="D21" s="7">
        <f>80000*B3</f>
        <v>22160</v>
      </c>
      <c r="E21" s="7">
        <f>780*B3</f>
        <v>216.06</v>
      </c>
      <c r="F21" s="7">
        <f>E21*B4</f>
        <v>4.32</v>
      </c>
      <c r="G21" s="7">
        <f t="shared" si="0"/>
        <v>10.8</v>
      </c>
      <c r="H21" s="8" t="s">
        <v>10</v>
      </c>
      <c r="I21" s="7">
        <v>4</v>
      </c>
      <c r="J21" s="7">
        <f>'Distribuidor e Contador'!L21</f>
        <v>13.04</v>
      </c>
      <c r="K21" s="7">
        <f t="shared" si="1"/>
        <v>248.22</v>
      </c>
      <c r="L21" s="12"/>
    </row>
    <row r="22" spans="1:12" ht="17.100000000000001" customHeight="1" x14ac:dyDescent="0.4">
      <c r="A22" s="5" t="s">
        <v>0</v>
      </c>
      <c r="B22" s="6" t="s">
        <v>1</v>
      </c>
      <c r="C22" s="7">
        <f t="shared" si="2"/>
        <v>22160.01</v>
      </c>
      <c r="D22" s="7"/>
      <c r="E22" s="7">
        <f>830*B3</f>
        <v>229.91</v>
      </c>
      <c r="F22" s="7">
        <f>E22*B4</f>
        <v>4.5999999999999996</v>
      </c>
      <c r="G22" s="7">
        <f t="shared" si="0"/>
        <v>11.5</v>
      </c>
      <c r="H22" s="8" t="s">
        <v>10</v>
      </c>
      <c r="I22" s="7">
        <v>4</v>
      </c>
      <c r="J22" s="7">
        <f>'Distribuidor e Contador'!L22</f>
        <v>13.04</v>
      </c>
      <c r="K22" s="7">
        <f>SUM(E22:J22)</f>
        <v>263.05</v>
      </c>
      <c r="L22" s="12"/>
    </row>
    <row r="23" spans="1:12" ht="17.100000000000001" customHeight="1" x14ac:dyDescent="0.4">
      <c r="A23" s="5" t="s">
        <v>2</v>
      </c>
      <c r="B23" s="6" t="s">
        <v>12</v>
      </c>
      <c r="C23" s="7"/>
      <c r="D23" s="7"/>
      <c r="E23" s="7">
        <f>80*B3</f>
        <v>22.16</v>
      </c>
      <c r="F23" s="7">
        <f>E23*B4</f>
        <v>0.44</v>
      </c>
      <c r="G23" s="7">
        <f t="shared" si="0"/>
        <v>1.1100000000000001</v>
      </c>
      <c r="H23" s="7"/>
      <c r="I23" s="7">
        <v>1</v>
      </c>
      <c r="J23" s="7"/>
      <c r="K23" s="7"/>
      <c r="L23" s="12">
        <f>SUM(E23:J23)</f>
        <v>24.71</v>
      </c>
    </row>
    <row r="24" spans="1:12" ht="17.100000000000001" customHeight="1" x14ac:dyDescent="0.4">
      <c r="A24" s="59" t="s">
        <v>16</v>
      </c>
      <c r="B24" s="60" t="s">
        <v>15</v>
      </c>
      <c r="C24" s="23">
        <v>0</v>
      </c>
      <c r="D24" s="23">
        <f>D10</f>
        <v>192.78</v>
      </c>
      <c r="E24" s="23">
        <f>E7+E9+E10+E23</f>
        <v>95.01</v>
      </c>
      <c r="F24" s="23">
        <f>E24*B4</f>
        <v>1.9</v>
      </c>
      <c r="G24" s="23">
        <f t="shared" si="0"/>
        <v>4.75</v>
      </c>
      <c r="H24" s="13" t="s">
        <v>10</v>
      </c>
      <c r="I24" s="9">
        <f>I7+I9+I10+I23</f>
        <v>5.25</v>
      </c>
      <c r="J24" s="9">
        <f>J7+J9+J10+J23</f>
        <v>13.04</v>
      </c>
      <c r="K24" s="23">
        <f>SUM(E24:J24)</f>
        <v>119.95</v>
      </c>
      <c r="L24" s="72"/>
    </row>
    <row r="25" spans="1:12" s="78" customFormat="1" ht="17.100000000000001" customHeight="1" x14ac:dyDescent="0.4">
      <c r="A25" s="73" t="s">
        <v>16</v>
      </c>
      <c r="B25" s="74" t="s">
        <v>15</v>
      </c>
      <c r="C25" s="75">
        <f>D24+0.01</f>
        <v>192.79</v>
      </c>
      <c r="D25" s="75">
        <f>D11</f>
        <v>1928.1</v>
      </c>
      <c r="E25" s="75">
        <f>E7+E9+E11+E23</f>
        <v>95.01</v>
      </c>
      <c r="F25" s="75">
        <f>E25*B4</f>
        <v>1.9</v>
      </c>
      <c r="G25" s="75">
        <f t="shared" si="0"/>
        <v>4.75</v>
      </c>
      <c r="H25" s="13" t="s">
        <v>10</v>
      </c>
      <c r="I25" s="76">
        <f>I7+I9+I11+I23</f>
        <v>5.25</v>
      </c>
      <c r="J25" s="76">
        <f>J7+J9+J11+J23</f>
        <v>13.04</v>
      </c>
      <c r="K25" s="75">
        <f>SUM(E25:J25)</f>
        <v>119.95</v>
      </c>
      <c r="L25" s="77"/>
    </row>
    <row r="26" spans="1:12" ht="17.100000000000001" customHeight="1" x14ac:dyDescent="0.4">
      <c r="A26" s="59" t="s">
        <v>16</v>
      </c>
      <c r="B26" s="60" t="s">
        <v>15</v>
      </c>
      <c r="C26" s="23">
        <f>D25+0.01</f>
        <v>1928.11</v>
      </c>
      <c r="D26" s="23">
        <f>12000*B3</f>
        <v>3324</v>
      </c>
      <c r="E26" s="23">
        <f>E7+E9+E12+E23</f>
        <v>95.01</v>
      </c>
      <c r="F26" s="23">
        <f>E26*B4</f>
        <v>1.9</v>
      </c>
      <c r="G26" s="23">
        <f t="shared" si="0"/>
        <v>4.75</v>
      </c>
      <c r="H26" s="13" t="s">
        <v>10</v>
      </c>
      <c r="I26" s="9">
        <f>I7+I9+I12+I23</f>
        <v>5.25</v>
      </c>
      <c r="J26" s="9">
        <f>J7+J9+J12+J23</f>
        <v>13.04</v>
      </c>
      <c r="K26" s="23">
        <f t="shared" ref="K26:K36" si="3">SUM(E26:J26)</f>
        <v>119.95</v>
      </c>
      <c r="L26" s="72"/>
    </row>
    <row r="27" spans="1:12" ht="17.100000000000001" customHeight="1" x14ac:dyDescent="0.4">
      <c r="A27" s="59" t="s">
        <v>16</v>
      </c>
      <c r="B27" s="60" t="s">
        <v>15</v>
      </c>
      <c r="C27" s="23">
        <f t="shared" ref="C27:C35" si="4">D26+0.01</f>
        <v>3324.01</v>
      </c>
      <c r="D27" s="23">
        <f>16000*B3</f>
        <v>4432</v>
      </c>
      <c r="E27" s="23">
        <f>E7+E9+E13+E23</f>
        <v>111.63</v>
      </c>
      <c r="F27" s="23">
        <f>E27*B4</f>
        <v>2.23</v>
      </c>
      <c r="G27" s="23">
        <f t="shared" si="0"/>
        <v>5.58</v>
      </c>
      <c r="H27" s="13" t="s">
        <v>10</v>
      </c>
      <c r="I27" s="9">
        <f>I7+I9+I13+I23</f>
        <v>5.25</v>
      </c>
      <c r="J27" s="9">
        <f>J7+J9+J13+J23</f>
        <v>13.04</v>
      </c>
      <c r="K27" s="23">
        <f t="shared" si="3"/>
        <v>137.72999999999999</v>
      </c>
      <c r="L27" s="72"/>
    </row>
    <row r="28" spans="1:12" ht="17.100000000000001" customHeight="1" x14ac:dyDescent="0.4">
      <c r="A28" s="59" t="s">
        <v>16</v>
      </c>
      <c r="B28" s="60" t="s">
        <v>15</v>
      </c>
      <c r="C28" s="23">
        <f t="shared" si="4"/>
        <v>4432.01</v>
      </c>
      <c r="D28" s="23">
        <f>24000*B3</f>
        <v>6648</v>
      </c>
      <c r="E28" s="23">
        <f>E7+E9+E14+E23</f>
        <v>144.87</v>
      </c>
      <c r="F28" s="23">
        <f>E28*B4</f>
        <v>2.9</v>
      </c>
      <c r="G28" s="23">
        <f t="shared" si="0"/>
        <v>7.24</v>
      </c>
      <c r="H28" s="13" t="s">
        <v>10</v>
      </c>
      <c r="I28" s="9">
        <f>I7+I9+I14+I23</f>
        <v>5.25</v>
      </c>
      <c r="J28" s="9">
        <f>J7+J9+J14+J23</f>
        <v>13.04</v>
      </c>
      <c r="K28" s="23">
        <f t="shared" si="3"/>
        <v>173.3</v>
      </c>
      <c r="L28" s="72"/>
    </row>
    <row r="29" spans="1:12" ht="17.100000000000001" customHeight="1" x14ac:dyDescent="0.4">
      <c r="A29" s="59" t="s">
        <v>16</v>
      </c>
      <c r="B29" s="60" t="s">
        <v>15</v>
      </c>
      <c r="C29" s="23">
        <f t="shared" si="4"/>
        <v>6648.01</v>
      </c>
      <c r="D29" s="23">
        <f>32000*B3</f>
        <v>8864</v>
      </c>
      <c r="E29" s="23">
        <f>E7+E9+E15+E23</f>
        <v>178.11</v>
      </c>
      <c r="F29" s="23">
        <f>E29*B4</f>
        <v>3.56</v>
      </c>
      <c r="G29" s="23">
        <f t="shared" si="0"/>
        <v>8.91</v>
      </c>
      <c r="H29" s="13" t="s">
        <v>10</v>
      </c>
      <c r="I29" s="9">
        <f>I7+I9+I15+I23</f>
        <v>5.25</v>
      </c>
      <c r="J29" s="9">
        <f>J7+J9+J15+J23</f>
        <v>13.04</v>
      </c>
      <c r="K29" s="23">
        <f t="shared" si="3"/>
        <v>208.87</v>
      </c>
      <c r="L29" s="72"/>
    </row>
    <row r="30" spans="1:12" ht="17.100000000000001" customHeight="1" x14ac:dyDescent="0.4">
      <c r="A30" s="59" t="s">
        <v>16</v>
      </c>
      <c r="B30" s="60" t="s">
        <v>15</v>
      </c>
      <c r="C30" s="23">
        <f t="shared" si="4"/>
        <v>8864.01</v>
      </c>
      <c r="D30" s="23">
        <f>40000*B3</f>
        <v>11080</v>
      </c>
      <c r="E30" s="23">
        <f>E7+E9+E16+E23</f>
        <v>191.96</v>
      </c>
      <c r="F30" s="23">
        <f>E30*B4</f>
        <v>3.84</v>
      </c>
      <c r="G30" s="23">
        <f t="shared" si="0"/>
        <v>9.6</v>
      </c>
      <c r="H30" s="13" t="s">
        <v>10</v>
      </c>
      <c r="I30" s="9">
        <f>I7+I9+I16+I23</f>
        <v>5.25</v>
      </c>
      <c r="J30" s="9">
        <f>J7+J9+J16+J23</f>
        <v>13.04</v>
      </c>
      <c r="K30" s="23">
        <f t="shared" si="3"/>
        <v>223.69</v>
      </c>
      <c r="L30" s="72"/>
    </row>
    <row r="31" spans="1:12" ht="17.100000000000001" customHeight="1" x14ac:dyDescent="0.4">
      <c r="A31" s="59" t="s">
        <v>16</v>
      </c>
      <c r="B31" s="60" t="s">
        <v>15</v>
      </c>
      <c r="C31" s="23">
        <f t="shared" si="4"/>
        <v>11080.01</v>
      </c>
      <c r="D31" s="23">
        <f>48000*B3</f>
        <v>13296</v>
      </c>
      <c r="E31" s="23">
        <f>E7+E9+E17+E23</f>
        <v>205.81</v>
      </c>
      <c r="F31" s="23">
        <f>E31*B4</f>
        <v>4.12</v>
      </c>
      <c r="G31" s="23">
        <f t="shared" si="0"/>
        <v>10.29</v>
      </c>
      <c r="H31" s="13" t="s">
        <v>10</v>
      </c>
      <c r="I31" s="9">
        <f>I7+I9+I17+I23</f>
        <v>5.25</v>
      </c>
      <c r="J31" s="9">
        <f>J7+J9+J17+J23</f>
        <v>13.04</v>
      </c>
      <c r="K31" s="23">
        <f t="shared" si="3"/>
        <v>238.51</v>
      </c>
      <c r="L31" s="72"/>
    </row>
    <row r="32" spans="1:12" ht="17.100000000000001" customHeight="1" x14ac:dyDescent="0.4">
      <c r="A32" s="59" t="s">
        <v>16</v>
      </c>
      <c r="B32" s="60" t="s">
        <v>15</v>
      </c>
      <c r="C32" s="23">
        <f t="shared" si="4"/>
        <v>13296.01</v>
      </c>
      <c r="D32" s="23">
        <f>56000*B3</f>
        <v>15512</v>
      </c>
      <c r="E32" s="23">
        <f>E7+E9+E18+E23</f>
        <v>219.66</v>
      </c>
      <c r="F32" s="23">
        <f>E32*B4</f>
        <v>4.3899999999999997</v>
      </c>
      <c r="G32" s="23">
        <f t="shared" si="0"/>
        <v>10.98</v>
      </c>
      <c r="H32" s="13" t="s">
        <v>10</v>
      </c>
      <c r="I32" s="9">
        <f>I7+I9+I18+I23</f>
        <v>5.25</v>
      </c>
      <c r="J32" s="9">
        <f>J7+J9+J18+J23</f>
        <v>13.04</v>
      </c>
      <c r="K32" s="23">
        <f t="shared" si="3"/>
        <v>253.32</v>
      </c>
      <c r="L32" s="72"/>
    </row>
    <row r="33" spans="1:12" ht="17.100000000000001" customHeight="1" x14ac:dyDescent="0.4">
      <c r="A33" s="59" t="s">
        <v>16</v>
      </c>
      <c r="B33" s="60" t="s">
        <v>15</v>
      </c>
      <c r="C33" s="23">
        <f t="shared" si="4"/>
        <v>15512.01</v>
      </c>
      <c r="D33" s="23">
        <f>64000*B3</f>
        <v>17728</v>
      </c>
      <c r="E33" s="23">
        <f>E7+E9+E19+E23</f>
        <v>233.51</v>
      </c>
      <c r="F33" s="23">
        <f>E33*B4</f>
        <v>4.67</v>
      </c>
      <c r="G33" s="23">
        <f t="shared" si="0"/>
        <v>11.68</v>
      </c>
      <c r="H33" s="13" t="s">
        <v>10</v>
      </c>
      <c r="I33" s="9">
        <f>I7+I9+I19+I23</f>
        <v>5.25</v>
      </c>
      <c r="J33" s="9">
        <f>J7+J9+J19+J23</f>
        <v>13.04</v>
      </c>
      <c r="K33" s="23">
        <f t="shared" si="3"/>
        <v>268.14999999999998</v>
      </c>
      <c r="L33" s="72"/>
    </row>
    <row r="34" spans="1:12" ht="17.100000000000001" customHeight="1" x14ac:dyDescent="0.4">
      <c r="A34" s="59" t="s">
        <v>16</v>
      </c>
      <c r="B34" s="60" t="s">
        <v>15</v>
      </c>
      <c r="C34" s="23">
        <f t="shared" si="4"/>
        <v>17728.009999999998</v>
      </c>
      <c r="D34" s="23">
        <f>72000*B3</f>
        <v>19944</v>
      </c>
      <c r="E34" s="23">
        <f>E7+E9+E20+E23</f>
        <v>247.36</v>
      </c>
      <c r="F34" s="23">
        <f>E34*B4</f>
        <v>4.95</v>
      </c>
      <c r="G34" s="23">
        <f t="shared" si="0"/>
        <v>12.37</v>
      </c>
      <c r="H34" s="13" t="s">
        <v>10</v>
      </c>
      <c r="I34" s="9">
        <f>I7+I9+I20+I23</f>
        <v>5.25</v>
      </c>
      <c r="J34" s="9">
        <f>J7+J9+J20+J23</f>
        <v>13.04</v>
      </c>
      <c r="K34" s="23">
        <f t="shared" si="3"/>
        <v>282.97000000000003</v>
      </c>
      <c r="L34" s="72"/>
    </row>
    <row r="35" spans="1:12" ht="17.100000000000001" customHeight="1" x14ac:dyDescent="0.4">
      <c r="A35" s="59" t="s">
        <v>16</v>
      </c>
      <c r="B35" s="60" t="s">
        <v>15</v>
      </c>
      <c r="C35" s="23">
        <f t="shared" si="4"/>
        <v>19944.009999999998</v>
      </c>
      <c r="D35" s="23">
        <f>80000*B3</f>
        <v>22160</v>
      </c>
      <c r="E35" s="23">
        <f>E7+E9+E21+E23</f>
        <v>261.20999999999998</v>
      </c>
      <c r="F35" s="23">
        <f>E35*B4</f>
        <v>5.22</v>
      </c>
      <c r="G35" s="23">
        <f t="shared" si="0"/>
        <v>13.06</v>
      </c>
      <c r="H35" s="13" t="s">
        <v>10</v>
      </c>
      <c r="I35" s="9">
        <f>I7+I9+I21+I23</f>
        <v>5.25</v>
      </c>
      <c r="J35" s="9">
        <f>J7+J9+J21+J23</f>
        <v>13.04</v>
      </c>
      <c r="K35" s="23">
        <f t="shared" si="3"/>
        <v>297.77999999999997</v>
      </c>
      <c r="L35" s="72"/>
    </row>
    <row r="36" spans="1:12" ht="17.100000000000001" customHeight="1" x14ac:dyDescent="0.4">
      <c r="A36" s="59" t="s">
        <v>16</v>
      </c>
      <c r="B36" s="60" t="s">
        <v>15</v>
      </c>
      <c r="C36" s="23">
        <f>D35+0.01</f>
        <v>22160.01</v>
      </c>
      <c r="D36" s="23"/>
      <c r="E36" s="23">
        <f>E7+E9+E22+E23</f>
        <v>275.06</v>
      </c>
      <c r="F36" s="23">
        <f>E36*B4</f>
        <v>5.5</v>
      </c>
      <c r="G36" s="23">
        <f t="shared" si="0"/>
        <v>13.75</v>
      </c>
      <c r="H36" s="13" t="s">
        <v>10</v>
      </c>
      <c r="I36" s="9">
        <f>I7+I9+I22+I23</f>
        <v>5.25</v>
      </c>
      <c r="J36" s="9">
        <f>J7+J9+J22+J23</f>
        <v>13.04</v>
      </c>
      <c r="K36" s="23">
        <f t="shared" si="3"/>
        <v>312.60000000000002</v>
      </c>
      <c r="L36" s="72"/>
    </row>
    <row r="37" spans="1:12" ht="17.100000000000001" customHeight="1" x14ac:dyDescent="0.4">
      <c r="A37" s="59"/>
      <c r="B37" s="60"/>
      <c r="C37" s="23"/>
      <c r="D37" s="23"/>
      <c r="E37" s="23"/>
      <c r="F37" s="23"/>
      <c r="G37" s="23"/>
      <c r="H37" s="13"/>
      <c r="I37" s="9"/>
      <c r="J37" s="9"/>
      <c r="K37" s="23"/>
      <c r="L37" s="72"/>
    </row>
    <row r="38" spans="1:12" ht="17.100000000000001" customHeight="1" x14ac:dyDescent="0.4">
      <c r="A38" s="59" t="s">
        <v>17</v>
      </c>
      <c r="B38" s="60" t="s">
        <v>18</v>
      </c>
      <c r="C38" s="23">
        <v>0</v>
      </c>
      <c r="D38" s="23">
        <f>D10</f>
        <v>192.78</v>
      </c>
      <c r="E38" s="23">
        <f>E8+E9+E10+E23</f>
        <v>114.4</v>
      </c>
      <c r="F38" s="23">
        <f>E38*B4</f>
        <v>2.29</v>
      </c>
      <c r="G38" s="23">
        <f>E38*5%</f>
        <v>5.72</v>
      </c>
      <c r="H38" s="13" t="s">
        <v>10</v>
      </c>
      <c r="I38" s="9">
        <f>I8+I9+I10+I23</f>
        <v>5.25</v>
      </c>
      <c r="J38" s="9">
        <f>J8+J9+J10+J23</f>
        <v>13.04</v>
      </c>
      <c r="K38" s="23">
        <f>SUM(E38:J38)</f>
        <v>140.69999999999999</v>
      </c>
      <c r="L38" s="72"/>
    </row>
    <row r="39" spans="1:12" ht="17.100000000000001" customHeight="1" x14ac:dyDescent="0.4">
      <c r="A39" s="59" t="s">
        <v>17</v>
      </c>
      <c r="B39" s="60" t="s">
        <v>18</v>
      </c>
      <c r="C39" s="23">
        <f>D38+0.01</f>
        <v>192.79</v>
      </c>
      <c r="D39" s="23">
        <f>D11</f>
        <v>1928.1</v>
      </c>
      <c r="E39" s="23">
        <f>E8+E9+E11+E23</f>
        <v>114.4</v>
      </c>
      <c r="F39" s="23">
        <f>E39*B4</f>
        <v>2.29</v>
      </c>
      <c r="G39" s="23">
        <f t="shared" si="0"/>
        <v>5.72</v>
      </c>
      <c r="H39" s="13" t="s">
        <v>10</v>
      </c>
      <c r="I39" s="9">
        <f>I8+I9+I11+I23</f>
        <v>5.25</v>
      </c>
      <c r="J39" s="9">
        <f>J8+J9+J11+J23</f>
        <v>13.04</v>
      </c>
      <c r="K39" s="23">
        <f t="shared" ref="K39:K50" si="5">SUM(E39:J39)</f>
        <v>140.69999999999999</v>
      </c>
      <c r="L39" s="72"/>
    </row>
    <row r="40" spans="1:12" ht="17.100000000000001" customHeight="1" x14ac:dyDescent="0.4">
      <c r="A40" s="59" t="s">
        <v>17</v>
      </c>
      <c r="B40" s="60" t="s">
        <v>18</v>
      </c>
      <c r="C40" s="23">
        <f>D39+0.01</f>
        <v>1928.11</v>
      </c>
      <c r="D40" s="23">
        <f>12000*B3</f>
        <v>3324</v>
      </c>
      <c r="E40" s="23">
        <f>E8+E9+E12+E23</f>
        <v>114.4</v>
      </c>
      <c r="F40" s="23">
        <f>E40*B4</f>
        <v>2.29</v>
      </c>
      <c r="G40" s="23">
        <f t="shared" si="0"/>
        <v>5.72</v>
      </c>
      <c r="H40" s="13" t="s">
        <v>10</v>
      </c>
      <c r="I40" s="9">
        <f>I8+I9+I12+I23</f>
        <v>5.25</v>
      </c>
      <c r="J40" s="9">
        <f>J8+J9+J12+J23</f>
        <v>13.04</v>
      </c>
      <c r="K40" s="23">
        <f t="shared" si="5"/>
        <v>140.69999999999999</v>
      </c>
      <c r="L40" s="72"/>
    </row>
    <row r="41" spans="1:12" ht="17.100000000000001" customHeight="1" x14ac:dyDescent="0.4">
      <c r="A41" s="59" t="s">
        <v>17</v>
      </c>
      <c r="B41" s="60" t="s">
        <v>18</v>
      </c>
      <c r="C41" s="23">
        <f t="shared" ref="C41:C50" si="6">D40+0.01</f>
        <v>3324.01</v>
      </c>
      <c r="D41" s="23">
        <f>16000*B3</f>
        <v>4432</v>
      </c>
      <c r="E41" s="23">
        <f>E8+E9+E13+E23</f>
        <v>131.02000000000001</v>
      </c>
      <c r="F41" s="23">
        <f>E41*B4</f>
        <v>2.62</v>
      </c>
      <c r="G41" s="23">
        <f t="shared" si="0"/>
        <v>6.55</v>
      </c>
      <c r="H41" s="13" t="s">
        <v>10</v>
      </c>
      <c r="I41" s="9">
        <f>I8+I9+I13+I23</f>
        <v>5.25</v>
      </c>
      <c r="J41" s="9">
        <f>J8+J9+J13+J23</f>
        <v>13.04</v>
      </c>
      <c r="K41" s="23">
        <f t="shared" si="5"/>
        <v>158.47999999999999</v>
      </c>
      <c r="L41" s="72"/>
    </row>
    <row r="42" spans="1:12" ht="17.100000000000001" customHeight="1" x14ac:dyDescent="0.4">
      <c r="A42" s="59" t="s">
        <v>17</v>
      </c>
      <c r="B42" s="60" t="s">
        <v>18</v>
      </c>
      <c r="C42" s="23">
        <f t="shared" si="6"/>
        <v>4432.01</v>
      </c>
      <c r="D42" s="23">
        <f>24000*B3</f>
        <v>6648</v>
      </c>
      <c r="E42" s="23">
        <f>E8+E9+E14+E23</f>
        <v>164.26</v>
      </c>
      <c r="F42" s="23">
        <f>E42*B4</f>
        <v>3.29</v>
      </c>
      <c r="G42" s="23">
        <f t="shared" si="0"/>
        <v>8.2100000000000009</v>
      </c>
      <c r="H42" s="13" t="s">
        <v>10</v>
      </c>
      <c r="I42" s="9">
        <f>I8+I9+I14+I23</f>
        <v>5.25</v>
      </c>
      <c r="J42" s="9">
        <f>J8+J9+J14+J23</f>
        <v>13.04</v>
      </c>
      <c r="K42" s="23">
        <f t="shared" si="5"/>
        <v>194.05</v>
      </c>
      <c r="L42" s="72"/>
    </row>
    <row r="43" spans="1:12" ht="17.100000000000001" customHeight="1" x14ac:dyDescent="0.4">
      <c r="A43" s="59" t="s">
        <v>17</v>
      </c>
      <c r="B43" s="60" t="s">
        <v>18</v>
      </c>
      <c r="C43" s="23">
        <f t="shared" si="6"/>
        <v>6648.01</v>
      </c>
      <c r="D43" s="23">
        <f>32000*B3</f>
        <v>8864</v>
      </c>
      <c r="E43" s="23">
        <f>E8+E9+E15+E23</f>
        <v>197.5</v>
      </c>
      <c r="F43" s="23">
        <f>E43*B4</f>
        <v>3.95</v>
      </c>
      <c r="G43" s="23">
        <f t="shared" si="0"/>
        <v>9.8800000000000008</v>
      </c>
      <c r="H43" s="13" t="s">
        <v>10</v>
      </c>
      <c r="I43" s="9">
        <f>I8+I9+I15+I23</f>
        <v>5.25</v>
      </c>
      <c r="J43" s="9">
        <f>J8+J9+J15+J23</f>
        <v>13.04</v>
      </c>
      <c r="K43" s="23">
        <f t="shared" si="5"/>
        <v>229.62</v>
      </c>
      <c r="L43" s="72"/>
    </row>
    <row r="44" spans="1:12" ht="17.100000000000001" customHeight="1" x14ac:dyDescent="0.4">
      <c r="A44" s="59" t="s">
        <v>17</v>
      </c>
      <c r="B44" s="60" t="s">
        <v>18</v>
      </c>
      <c r="C44" s="23">
        <f t="shared" si="6"/>
        <v>8864.01</v>
      </c>
      <c r="D44" s="23">
        <f>40000*B3</f>
        <v>11080</v>
      </c>
      <c r="E44" s="23">
        <f>E8+E9+E16+E23</f>
        <v>211.35</v>
      </c>
      <c r="F44" s="23">
        <f>E44*B4</f>
        <v>4.2300000000000004</v>
      </c>
      <c r="G44" s="23">
        <f t="shared" si="0"/>
        <v>10.57</v>
      </c>
      <c r="H44" s="13" t="s">
        <v>10</v>
      </c>
      <c r="I44" s="9">
        <f>I8+I9+I16+I23</f>
        <v>5.25</v>
      </c>
      <c r="J44" s="9">
        <f>J8+J9+J16+J23</f>
        <v>13.04</v>
      </c>
      <c r="K44" s="23">
        <f t="shared" si="5"/>
        <v>244.44</v>
      </c>
      <c r="L44" s="72"/>
    </row>
    <row r="45" spans="1:12" ht="17.100000000000001" customHeight="1" x14ac:dyDescent="0.4">
      <c r="A45" s="59" t="s">
        <v>17</v>
      </c>
      <c r="B45" s="60" t="s">
        <v>18</v>
      </c>
      <c r="C45" s="23">
        <f t="shared" si="6"/>
        <v>11080.01</v>
      </c>
      <c r="D45" s="23">
        <f>48000*B3</f>
        <v>13296</v>
      </c>
      <c r="E45" s="23">
        <f>E8+E9+E17+E23</f>
        <v>225.2</v>
      </c>
      <c r="F45" s="23">
        <f>E45*B4</f>
        <v>4.5</v>
      </c>
      <c r="G45" s="23">
        <f t="shared" si="0"/>
        <v>11.26</v>
      </c>
      <c r="H45" s="13" t="s">
        <v>10</v>
      </c>
      <c r="I45" s="9">
        <f>I8+I9+I17+I23</f>
        <v>5.25</v>
      </c>
      <c r="J45" s="9">
        <f>J8+J9+J17+J23</f>
        <v>13.04</v>
      </c>
      <c r="K45" s="23">
        <f t="shared" si="5"/>
        <v>259.25</v>
      </c>
      <c r="L45" s="72"/>
    </row>
    <row r="46" spans="1:12" ht="17.100000000000001" customHeight="1" x14ac:dyDescent="0.4">
      <c r="A46" s="59" t="s">
        <v>17</v>
      </c>
      <c r="B46" s="60" t="s">
        <v>18</v>
      </c>
      <c r="C46" s="23">
        <f t="shared" si="6"/>
        <v>13296.01</v>
      </c>
      <c r="D46" s="23">
        <f>56000*B3</f>
        <v>15512</v>
      </c>
      <c r="E46" s="23">
        <f>E8+E9+E18+E23</f>
        <v>239.05</v>
      </c>
      <c r="F46" s="23">
        <f>E46*B4</f>
        <v>4.78</v>
      </c>
      <c r="G46" s="23">
        <f t="shared" si="0"/>
        <v>11.95</v>
      </c>
      <c r="H46" s="13" t="s">
        <v>10</v>
      </c>
      <c r="I46" s="9">
        <f>I8+I9+I18+I23</f>
        <v>5.25</v>
      </c>
      <c r="J46" s="9">
        <f>J8+J9+J18+J23</f>
        <v>13.04</v>
      </c>
      <c r="K46" s="23">
        <f t="shared" si="5"/>
        <v>274.07</v>
      </c>
      <c r="L46" s="72"/>
    </row>
    <row r="47" spans="1:12" ht="17.100000000000001" customHeight="1" x14ac:dyDescent="0.4">
      <c r="A47" s="59" t="s">
        <v>17</v>
      </c>
      <c r="B47" s="60" t="s">
        <v>18</v>
      </c>
      <c r="C47" s="23">
        <f t="shared" si="6"/>
        <v>15512.01</v>
      </c>
      <c r="D47" s="23">
        <f>64000*B3</f>
        <v>17728</v>
      </c>
      <c r="E47" s="23">
        <f>E8+E9+E19+E23</f>
        <v>252.9</v>
      </c>
      <c r="F47" s="23">
        <f>E47*B4</f>
        <v>5.0599999999999996</v>
      </c>
      <c r="G47" s="23">
        <f t="shared" si="0"/>
        <v>12.65</v>
      </c>
      <c r="H47" s="13" t="s">
        <v>10</v>
      </c>
      <c r="I47" s="9">
        <f>I8+I9+I19+I23</f>
        <v>5.25</v>
      </c>
      <c r="J47" s="9">
        <f>J8+J9+J19+J23</f>
        <v>13.04</v>
      </c>
      <c r="K47" s="23">
        <f t="shared" si="5"/>
        <v>288.89999999999998</v>
      </c>
      <c r="L47" s="72"/>
    </row>
    <row r="48" spans="1:12" ht="17.100000000000001" customHeight="1" x14ac:dyDescent="0.4">
      <c r="A48" s="59" t="s">
        <v>17</v>
      </c>
      <c r="B48" s="60" t="s">
        <v>18</v>
      </c>
      <c r="C48" s="23">
        <f t="shared" si="6"/>
        <v>17728.009999999998</v>
      </c>
      <c r="D48" s="23">
        <f>72000*B3</f>
        <v>19944</v>
      </c>
      <c r="E48" s="23">
        <f>E8+E9+E20+E23</f>
        <v>266.75</v>
      </c>
      <c r="F48" s="23">
        <f>E48*B4</f>
        <v>5.34</v>
      </c>
      <c r="G48" s="23">
        <f t="shared" si="0"/>
        <v>13.34</v>
      </c>
      <c r="H48" s="13" t="s">
        <v>10</v>
      </c>
      <c r="I48" s="9">
        <f>I8+I9+I20+I23</f>
        <v>5.25</v>
      </c>
      <c r="J48" s="9">
        <f>J8+J9+J20+J23</f>
        <v>13.04</v>
      </c>
      <c r="K48" s="23">
        <f t="shared" si="5"/>
        <v>303.72000000000003</v>
      </c>
      <c r="L48" s="72"/>
    </row>
    <row r="49" spans="1:12" ht="17.100000000000001" customHeight="1" x14ac:dyDescent="0.4">
      <c r="A49" s="59" t="s">
        <v>17</v>
      </c>
      <c r="B49" s="60" t="s">
        <v>18</v>
      </c>
      <c r="C49" s="23">
        <f t="shared" si="6"/>
        <v>19944.009999999998</v>
      </c>
      <c r="D49" s="23">
        <f>80000*B3</f>
        <v>22160</v>
      </c>
      <c r="E49" s="23">
        <f>E8+E9+E21+E23</f>
        <v>280.60000000000002</v>
      </c>
      <c r="F49" s="23">
        <f>E49*B4</f>
        <v>5.61</v>
      </c>
      <c r="G49" s="23">
        <f t="shared" si="0"/>
        <v>14.03</v>
      </c>
      <c r="H49" s="13" t="s">
        <v>10</v>
      </c>
      <c r="I49" s="9">
        <f>I8+I9+I21+I23</f>
        <v>5.25</v>
      </c>
      <c r="J49" s="9">
        <f>J8+J9+J21+J23</f>
        <v>13.04</v>
      </c>
      <c r="K49" s="23">
        <f t="shared" si="5"/>
        <v>318.52999999999997</v>
      </c>
      <c r="L49" s="72"/>
    </row>
    <row r="50" spans="1:12" ht="17.100000000000001" customHeight="1" x14ac:dyDescent="0.4">
      <c r="A50" s="59" t="s">
        <v>17</v>
      </c>
      <c r="B50" s="60" t="s">
        <v>18</v>
      </c>
      <c r="C50" s="23">
        <f t="shared" si="6"/>
        <v>22160.01</v>
      </c>
      <c r="D50" s="23"/>
      <c r="E50" s="23">
        <f>E8+E9+E22+E23</f>
        <v>294.45</v>
      </c>
      <c r="F50" s="23">
        <f>E50*B4</f>
        <v>5.89</v>
      </c>
      <c r="G50" s="23">
        <f t="shared" si="0"/>
        <v>14.72</v>
      </c>
      <c r="H50" s="13" t="s">
        <v>10</v>
      </c>
      <c r="I50" s="9">
        <f>I8+I9+I22+I23</f>
        <v>5.25</v>
      </c>
      <c r="J50" s="9">
        <f>J8+J9+J22+J23</f>
        <v>13.04</v>
      </c>
      <c r="K50" s="23">
        <f t="shared" si="5"/>
        <v>333.35</v>
      </c>
      <c r="L50" s="72"/>
    </row>
    <row r="51" spans="1:12" ht="17.100000000000001" customHeight="1" x14ac:dyDescent="0.4">
      <c r="A51" s="5" t="s">
        <v>3</v>
      </c>
      <c r="B51" s="6" t="s">
        <v>52</v>
      </c>
      <c r="C51" s="7">
        <v>0</v>
      </c>
      <c r="D51" s="7">
        <f>D10</f>
        <v>192.78</v>
      </c>
      <c r="E51" s="7">
        <f>(E10*80)/100</f>
        <v>39.89</v>
      </c>
      <c r="F51" s="7">
        <f>E51*B4</f>
        <v>0.8</v>
      </c>
      <c r="G51" s="7">
        <f>E51*5%</f>
        <v>1.99</v>
      </c>
      <c r="H51" s="7">
        <f>E51/4</f>
        <v>9.9700000000000006</v>
      </c>
      <c r="I51" s="7">
        <v>4</v>
      </c>
      <c r="J51" s="7"/>
      <c r="K51" s="7"/>
      <c r="L51" s="12">
        <f>SUM(E51:J51)</f>
        <v>56.65</v>
      </c>
    </row>
    <row r="52" spans="1:12" ht="17.100000000000001" customHeight="1" x14ac:dyDescent="0.4">
      <c r="A52" s="5" t="s">
        <v>3</v>
      </c>
      <c r="B52" s="6" t="s">
        <v>52</v>
      </c>
      <c r="C52" s="7">
        <f>D51+0.01</f>
        <v>192.79</v>
      </c>
      <c r="D52" s="7">
        <f>D11</f>
        <v>1928.1</v>
      </c>
      <c r="E52" s="7">
        <f t="shared" ref="E52:E63" si="7">(E11*80)/100</f>
        <v>39.89</v>
      </c>
      <c r="F52" s="7">
        <f>E52*B4</f>
        <v>0.8</v>
      </c>
      <c r="G52" s="7">
        <f t="shared" si="0"/>
        <v>1.99</v>
      </c>
      <c r="H52" s="7">
        <f t="shared" ref="H52:H63" si="8">E52/4</f>
        <v>9.9700000000000006</v>
      </c>
      <c r="I52" s="7">
        <v>4</v>
      </c>
      <c r="J52" s="7"/>
      <c r="K52" s="7"/>
      <c r="L52" s="12">
        <f t="shared" ref="L52:L63" si="9">SUM(E52:J52)</f>
        <v>56.65</v>
      </c>
    </row>
    <row r="53" spans="1:12" ht="17.100000000000001" customHeight="1" x14ac:dyDescent="0.4">
      <c r="A53" s="5" t="s">
        <v>3</v>
      </c>
      <c r="B53" s="6" t="s">
        <v>52</v>
      </c>
      <c r="C53" s="7">
        <f>D52+0.01</f>
        <v>1928.11</v>
      </c>
      <c r="D53" s="7">
        <f>12000*B3</f>
        <v>3324</v>
      </c>
      <c r="E53" s="7">
        <f t="shared" si="7"/>
        <v>39.89</v>
      </c>
      <c r="F53" s="7">
        <f>E53*B4</f>
        <v>0.8</v>
      </c>
      <c r="G53" s="7">
        <f t="shared" si="0"/>
        <v>1.99</v>
      </c>
      <c r="H53" s="7">
        <f t="shared" si="8"/>
        <v>9.9700000000000006</v>
      </c>
      <c r="I53" s="7">
        <v>4</v>
      </c>
      <c r="J53" s="7"/>
      <c r="K53" s="7"/>
      <c r="L53" s="12">
        <f t="shared" si="9"/>
        <v>56.65</v>
      </c>
    </row>
    <row r="54" spans="1:12" ht="17.100000000000001" customHeight="1" x14ac:dyDescent="0.4">
      <c r="A54" s="5" t="s">
        <v>3</v>
      </c>
      <c r="B54" s="6" t="s">
        <v>52</v>
      </c>
      <c r="C54" s="7">
        <f t="shared" ref="C54:C63" si="10">D53+0.01</f>
        <v>3324.01</v>
      </c>
      <c r="D54" s="7">
        <f>16000*B3</f>
        <v>4432</v>
      </c>
      <c r="E54" s="7">
        <f t="shared" si="7"/>
        <v>53.18</v>
      </c>
      <c r="F54" s="7">
        <f>E54*B4</f>
        <v>1.06</v>
      </c>
      <c r="G54" s="7">
        <f t="shared" si="0"/>
        <v>2.66</v>
      </c>
      <c r="H54" s="7">
        <f t="shared" si="8"/>
        <v>13.3</v>
      </c>
      <c r="I54" s="7">
        <v>4</v>
      </c>
      <c r="J54" s="7"/>
      <c r="K54" s="7"/>
      <c r="L54" s="12">
        <f t="shared" si="9"/>
        <v>74.2</v>
      </c>
    </row>
    <row r="55" spans="1:12" ht="17.100000000000001" customHeight="1" x14ac:dyDescent="0.4">
      <c r="A55" s="5" t="s">
        <v>3</v>
      </c>
      <c r="B55" s="6" t="s">
        <v>52</v>
      </c>
      <c r="C55" s="7">
        <f t="shared" si="10"/>
        <v>4432.01</v>
      </c>
      <c r="D55" s="7">
        <f>24000*B3</f>
        <v>6648</v>
      </c>
      <c r="E55" s="7">
        <f t="shared" si="7"/>
        <v>79.78</v>
      </c>
      <c r="F55" s="7">
        <f>E55*B4</f>
        <v>1.6</v>
      </c>
      <c r="G55" s="7">
        <f t="shared" si="0"/>
        <v>3.99</v>
      </c>
      <c r="H55" s="7">
        <f t="shared" si="8"/>
        <v>19.95</v>
      </c>
      <c r="I55" s="7">
        <v>4</v>
      </c>
      <c r="J55" s="7"/>
      <c r="K55" s="7"/>
      <c r="L55" s="12">
        <f t="shared" si="9"/>
        <v>109.32</v>
      </c>
    </row>
    <row r="56" spans="1:12" ht="17.100000000000001" customHeight="1" x14ac:dyDescent="0.4">
      <c r="A56" s="5" t="s">
        <v>3</v>
      </c>
      <c r="B56" s="6" t="s">
        <v>52</v>
      </c>
      <c r="C56" s="7">
        <f t="shared" si="10"/>
        <v>6648.01</v>
      </c>
      <c r="D56" s="7">
        <f>32000*B3</f>
        <v>8864</v>
      </c>
      <c r="E56" s="7">
        <f t="shared" si="7"/>
        <v>106.37</v>
      </c>
      <c r="F56" s="7">
        <f>E56*B4</f>
        <v>2.13</v>
      </c>
      <c r="G56" s="7">
        <f t="shared" si="0"/>
        <v>5.32</v>
      </c>
      <c r="H56" s="7">
        <f t="shared" si="8"/>
        <v>26.59</v>
      </c>
      <c r="I56" s="7">
        <v>4</v>
      </c>
      <c r="J56" s="7"/>
      <c r="K56" s="7"/>
      <c r="L56" s="12">
        <f t="shared" si="9"/>
        <v>144.41</v>
      </c>
    </row>
    <row r="57" spans="1:12" ht="17.100000000000001" customHeight="1" x14ac:dyDescent="0.4">
      <c r="A57" s="5" t="s">
        <v>3</v>
      </c>
      <c r="B57" s="6" t="s">
        <v>52</v>
      </c>
      <c r="C57" s="7">
        <f t="shared" si="10"/>
        <v>8864.01</v>
      </c>
      <c r="D57" s="7">
        <f>40000*B3</f>
        <v>11080</v>
      </c>
      <c r="E57" s="7">
        <f t="shared" si="7"/>
        <v>117.45</v>
      </c>
      <c r="F57" s="7">
        <f>E57*B4</f>
        <v>2.35</v>
      </c>
      <c r="G57" s="7">
        <f t="shared" si="0"/>
        <v>5.87</v>
      </c>
      <c r="H57" s="7">
        <f t="shared" si="8"/>
        <v>29.36</v>
      </c>
      <c r="I57" s="7">
        <v>4</v>
      </c>
      <c r="J57" s="7"/>
      <c r="K57" s="7"/>
      <c r="L57" s="12">
        <f t="shared" si="9"/>
        <v>159.03</v>
      </c>
    </row>
    <row r="58" spans="1:12" ht="17.100000000000001" customHeight="1" x14ac:dyDescent="0.4">
      <c r="A58" s="5" t="s">
        <v>3</v>
      </c>
      <c r="B58" s="6" t="s">
        <v>52</v>
      </c>
      <c r="C58" s="7">
        <f t="shared" si="10"/>
        <v>11080.01</v>
      </c>
      <c r="D58" s="7">
        <f>48000*B3</f>
        <v>13296</v>
      </c>
      <c r="E58" s="7">
        <f t="shared" si="7"/>
        <v>128.53</v>
      </c>
      <c r="F58" s="7">
        <f>E58*B4</f>
        <v>2.57</v>
      </c>
      <c r="G58" s="7">
        <f t="shared" si="0"/>
        <v>6.43</v>
      </c>
      <c r="H58" s="7">
        <f t="shared" si="8"/>
        <v>32.130000000000003</v>
      </c>
      <c r="I58" s="7">
        <v>4</v>
      </c>
      <c r="J58" s="7"/>
      <c r="K58" s="7"/>
      <c r="L58" s="12">
        <f t="shared" si="9"/>
        <v>173.66</v>
      </c>
    </row>
    <row r="59" spans="1:12" ht="17.100000000000001" customHeight="1" x14ac:dyDescent="0.4">
      <c r="A59" s="5" t="s">
        <v>3</v>
      </c>
      <c r="B59" s="6" t="s">
        <v>52</v>
      </c>
      <c r="C59" s="7">
        <f t="shared" si="10"/>
        <v>13296.01</v>
      </c>
      <c r="D59" s="7">
        <f>56000*B3</f>
        <v>15512</v>
      </c>
      <c r="E59" s="7">
        <f t="shared" si="7"/>
        <v>139.61000000000001</v>
      </c>
      <c r="F59" s="7">
        <f>E59*B4</f>
        <v>2.79</v>
      </c>
      <c r="G59" s="7">
        <f t="shared" si="0"/>
        <v>6.98</v>
      </c>
      <c r="H59" s="7">
        <f t="shared" si="8"/>
        <v>34.9</v>
      </c>
      <c r="I59" s="7">
        <v>4</v>
      </c>
      <c r="J59" s="7"/>
      <c r="K59" s="7"/>
      <c r="L59" s="12">
        <f t="shared" si="9"/>
        <v>188.28</v>
      </c>
    </row>
    <row r="60" spans="1:12" ht="17.100000000000001" customHeight="1" x14ac:dyDescent="0.4">
      <c r="A60" s="5" t="s">
        <v>3</v>
      </c>
      <c r="B60" s="6" t="s">
        <v>52</v>
      </c>
      <c r="C60" s="7">
        <f t="shared" si="10"/>
        <v>15512.01</v>
      </c>
      <c r="D60" s="7">
        <f>64000*B3</f>
        <v>17728</v>
      </c>
      <c r="E60" s="7">
        <f t="shared" si="7"/>
        <v>150.69</v>
      </c>
      <c r="F60" s="7">
        <f>E60*B4</f>
        <v>3.01</v>
      </c>
      <c r="G60" s="7">
        <f t="shared" si="0"/>
        <v>7.53</v>
      </c>
      <c r="H60" s="7">
        <f t="shared" si="8"/>
        <v>37.67</v>
      </c>
      <c r="I60" s="7">
        <v>4</v>
      </c>
      <c r="J60" s="7"/>
      <c r="K60" s="7"/>
      <c r="L60" s="12">
        <f t="shared" si="9"/>
        <v>202.9</v>
      </c>
    </row>
    <row r="61" spans="1:12" ht="17.100000000000001" customHeight="1" x14ac:dyDescent="0.4">
      <c r="A61" s="5" t="s">
        <v>3</v>
      </c>
      <c r="B61" s="6" t="s">
        <v>52</v>
      </c>
      <c r="C61" s="7">
        <f t="shared" si="10"/>
        <v>17728.009999999998</v>
      </c>
      <c r="D61" s="7">
        <f>72000*B3</f>
        <v>19944</v>
      </c>
      <c r="E61" s="7">
        <f t="shared" si="7"/>
        <v>161.77000000000001</v>
      </c>
      <c r="F61" s="7">
        <f>E61*B4</f>
        <v>3.24</v>
      </c>
      <c r="G61" s="7">
        <f t="shared" si="0"/>
        <v>8.09</v>
      </c>
      <c r="H61" s="7">
        <f t="shared" si="8"/>
        <v>40.44</v>
      </c>
      <c r="I61" s="7">
        <v>4</v>
      </c>
      <c r="J61" s="7"/>
      <c r="K61" s="7"/>
      <c r="L61" s="12">
        <f t="shared" si="9"/>
        <v>217.54</v>
      </c>
    </row>
    <row r="62" spans="1:12" ht="17.100000000000001" customHeight="1" x14ac:dyDescent="0.4">
      <c r="A62" s="5" t="s">
        <v>3</v>
      </c>
      <c r="B62" s="6" t="s">
        <v>52</v>
      </c>
      <c r="C62" s="7">
        <f t="shared" si="10"/>
        <v>19944.009999999998</v>
      </c>
      <c r="D62" s="7">
        <f>80000*B3</f>
        <v>22160</v>
      </c>
      <c r="E62" s="7">
        <f t="shared" si="7"/>
        <v>172.85</v>
      </c>
      <c r="F62" s="7">
        <f>E62*B4</f>
        <v>3.46</v>
      </c>
      <c r="G62" s="7">
        <f t="shared" si="0"/>
        <v>8.64</v>
      </c>
      <c r="H62" s="7">
        <f t="shared" si="8"/>
        <v>43.21</v>
      </c>
      <c r="I62" s="7">
        <v>4</v>
      </c>
      <c r="J62" s="7"/>
      <c r="K62" s="7"/>
      <c r="L62" s="12">
        <f t="shared" si="9"/>
        <v>232.16</v>
      </c>
    </row>
    <row r="63" spans="1:12" ht="17.100000000000001" customHeight="1" x14ac:dyDescent="0.4">
      <c r="A63" s="5" t="s">
        <v>3</v>
      </c>
      <c r="B63" s="6" t="s">
        <v>52</v>
      </c>
      <c r="C63" s="7">
        <f t="shared" si="10"/>
        <v>22160.01</v>
      </c>
      <c r="D63" s="7"/>
      <c r="E63" s="7">
        <f t="shared" si="7"/>
        <v>183.93</v>
      </c>
      <c r="F63" s="7">
        <f>E63*B4</f>
        <v>3.68</v>
      </c>
      <c r="G63" s="7">
        <f t="shared" si="0"/>
        <v>9.1999999999999993</v>
      </c>
      <c r="H63" s="7">
        <f t="shared" si="8"/>
        <v>45.98</v>
      </c>
      <c r="I63" s="7">
        <v>4</v>
      </c>
      <c r="J63" s="7"/>
      <c r="K63" s="7"/>
      <c r="L63" s="12">
        <f t="shared" si="9"/>
        <v>246.79</v>
      </c>
    </row>
    <row r="64" spans="1:12" ht="17.100000000000001" customHeight="1" x14ac:dyDescent="0.4">
      <c r="A64" s="59" t="s">
        <v>3</v>
      </c>
      <c r="B64" s="60" t="s">
        <v>51</v>
      </c>
      <c r="C64" s="23">
        <v>0</v>
      </c>
      <c r="D64" s="23">
        <f>D10</f>
        <v>192.78</v>
      </c>
      <c r="E64" s="23">
        <f t="shared" ref="E64:I64" si="11">E51+E9</f>
        <v>40.72</v>
      </c>
      <c r="F64" s="23">
        <f t="shared" si="11"/>
        <v>0.82</v>
      </c>
      <c r="G64" s="23">
        <f t="shared" si="11"/>
        <v>2.0299999999999998</v>
      </c>
      <c r="H64" s="23">
        <f t="shared" si="11"/>
        <v>9.9700000000000006</v>
      </c>
      <c r="I64" s="23">
        <f t="shared" si="11"/>
        <v>4.25</v>
      </c>
      <c r="J64" s="80"/>
      <c r="K64" s="23"/>
      <c r="L64" s="72">
        <f>SUM(E64:J64)</f>
        <v>57.79</v>
      </c>
    </row>
    <row r="65" spans="1:13" s="78" customFormat="1" ht="17.100000000000001" customHeight="1" x14ac:dyDescent="0.4">
      <c r="A65" s="73" t="s">
        <v>3</v>
      </c>
      <c r="B65" s="74" t="s">
        <v>51</v>
      </c>
      <c r="C65" s="75">
        <f>D64+0.01</f>
        <v>192.79</v>
      </c>
      <c r="D65" s="75">
        <f>D11</f>
        <v>1928.1</v>
      </c>
      <c r="E65" s="75">
        <f t="shared" ref="E65:I65" si="12">E52+E9</f>
        <v>40.72</v>
      </c>
      <c r="F65" s="75">
        <f t="shared" si="12"/>
        <v>0.82</v>
      </c>
      <c r="G65" s="75">
        <f t="shared" si="12"/>
        <v>2.0299999999999998</v>
      </c>
      <c r="H65" s="75">
        <f t="shared" si="12"/>
        <v>9.9700000000000006</v>
      </c>
      <c r="I65" s="75">
        <f t="shared" si="12"/>
        <v>4.25</v>
      </c>
      <c r="J65" s="80"/>
      <c r="K65" s="75"/>
      <c r="L65" s="77">
        <f t="shared" ref="L65:L76" si="13">SUM(E65:J65)</f>
        <v>57.79</v>
      </c>
    </row>
    <row r="66" spans="1:13" ht="17.100000000000001" customHeight="1" x14ac:dyDescent="0.4">
      <c r="A66" s="59" t="s">
        <v>3</v>
      </c>
      <c r="B66" s="60" t="s">
        <v>51</v>
      </c>
      <c r="C66" s="23">
        <f>D65+0.01</f>
        <v>1928.11</v>
      </c>
      <c r="D66" s="23">
        <f>12000*B3</f>
        <v>3324</v>
      </c>
      <c r="E66" s="23">
        <f t="shared" ref="E66:I66" si="14">E53+E9</f>
        <v>40.72</v>
      </c>
      <c r="F66" s="23">
        <f t="shared" si="14"/>
        <v>0.82</v>
      </c>
      <c r="G66" s="23">
        <f t="shared" si="14"/>
        <v>2.0299999999999998</v>
      </c>
      <c r="H66" s="23">
        <f t="shared" si="14"/>
        <v>9.9700000000000006</v>
      </c>
      <c r="I66" s="23">
        <f t="shared" si="14"/>
        <v>4.25</v>
      </c>
      <c r="J66" s="80"/>
      <c r="K66" s="23"/>
      <c r="L66" s="72">
        <f t="shared" si="13"/>
        <v>57.79</v>
      </c>
    </row>
    <row r="67" spans="1:13" ht="17.100000000000001" customHeight="1" x14ac:dyDescent="0.4">
      <c r="A67" s="59" t="s">
        <v>3</v>
      </c>
      <c r="B67" s="60" t="s">
        <v>51</v>
      </c>
      <c r="C67" s="23">
        <f t="shared" ref="C67:C76" si="15">D66+0.01</f>
        <v>3324.01</v>
      </c>
      <c r="D67" s="23">
        <f>16000*B3</f>
        <v>4432</v>
      </c>
      <c r="E67" s="23">
        <f t="shared" ref="E67:I67" si="16">E54+E9</f>
        <v>54.01</v>
      </c>
      <c r="F67" s="23">
        <f t="shared" si="16"/>
        <v>1.08</v>
      </c>
      <c r="G67" s="23">
        <f t="shared" si="16"/>
        <v>2.7</v>
      </c>
      <c r="H67" s="23">
        <f t="shared" si="16"/>
        <v>13.3</v>
      </c>
      <c r="I67" s="23">
        <f t="shared" si="16"/>
        <v>4.25</v>
      </c>
      <c r="J67" s="80"/>
      <c r="K67" s="23"/>
      <c r="L67" s="72">
        <f t="shared" si="13"/>
        <v>75.34</v>
      </c>
    </row>
    <row r="68" spans="1:13" ht="17.100000000000001" customHeight="1" x14ac:dyDescent="0.4">
      <c r="A68" s="59" t="s">
        <v>3</v>
      </c>
      <c r="B68" s="60" t="s">
        <v>51</v>
      </c>
      <c r="C68" s="23">
        <f t="shared" si="15"/>
        <v>4432.01</v>
      </c>
      <c r="D68" s="23">
        <f>24000*B3</f>
        <v>6648</v>
      </c>
      <c r="E68" s="23">
        <f t="shared" ref="E68:I68" si="17">E55+E9</f>
        <v>80.61</v>
      </c>
      <c r="F68" s="23">
        <f t="shared" si="17"/>
        <v>1.62</v>
      </c>
      <c r="G68" s="23">
        <f t="shared" si="17"/>
        <v>4.03</v>
      </c>
      <c r="H68" s="23">
        <f t="shared" si="17"/>
        <v>19.95</v>
      </c>
      <c r="I68" s="23">
        <f t="shared" si="17"/>
        <v>4.25</v>
      </c>
      <c r="J68" s="80"/>
      <c r="K68" s="23"/>
      <c r="L68" s="72">
        <f t="shared" si="13"/>
        <v>110.46</v>
      </c>
    </row>
    <row r="69" spans="1:13" ht="17.100000000000001" customHeight="1" x14ac:dyDescent="0.4">
      <c r="A69" s="59" t="s">
        <v>3</v>
      </c>
      <c r="B69" s="60" t="s">
        <v>51</v>
      </c>
      <c r="C69" s="23">
        <f t="shared" si="15"/>
        <v>6648.01</v>
      </c>
      <c r="D69" s="23">
        <f>32000*B3</f>
        <v>8864</v>
      </c>
      <c r="E69" s="23">
        <f t="shared" ref="E69:I69" si="18">E56+E9</f>
        <v>107.2</v>
      </c>
      <c r="F69" s="23">
        <f t="shared" si="18"/>
        <v>2.15</v>
      </c>
      <c r="G69" s="23">
        <f t="shared" si="18"/>
        <v>5.36</v>
      </c>
      <c r="H69" s="23">
        <f t="shared" si="18"/>
        <v>26.59</v>
      </c>
      <c r="I69" s="23">
        <f t="shared" si="18"/>
        <v>4.25</v>
      </c>
      <c r="J69" s="80"/>
      <c r="K69" s="23"/>
      <c r="L69" s="72">
        <f t="shared" si="13"/>
        <v>145.55000000000001</v>
      </c>
    </row>
    <row r="70" spans="1:13" ht="17.100000000000001" customHeight="1" x14ac:dyDescent="0.4">
      <c r="A70" s="59" t="s">
        <v>3</v>
      </c>
      <c r="B70" s="60" t="s">
        <v>51</v>
      </c>
      <c r="C70" s="23">
        <f t="shared" si="15"/>
        <v>8864.01</v>
      </c>
      <c r="D70" s="23">
        <f>40000*B3</f>
        <v>11080</v>
      </c>
      <c r="E70" s="23">
        <f t="shared" ref="E70:I70" si="19">E57+E9</f>
        <v>118.28</v>
      </c>
      <c r="F70" s="23">
        <f t="shared" si="19"/>
        <v>2.37</v>
      </c>
      <c r="G70" s="23">
        <f t="shared" si="19"/>
        <v>5.91</v>
      </c>
      <c r="H70" s="23">
        <f t="shared" si="19"/>
        <v>29.36</v>
      </c>
      <c r="I70" s="23">
        <f t="shared" si="19"/>
        <v>4.25</v>
      </c>
      <c r="J70" s="80"/>
      <c r="K70" s="23"/>
      <c r="L70" s="72">
        <f t="shared" si="13"/>
        <v>160.16999999999999</v>
      </c>
    </row>
    <row r="71" spans="1:13" ht="17.100000000000001" customHeight="1" x14ac:dyDescent="0.4">
      <c r="A71" s="59" t="s">
        <v>3</v>
      </c>
      <c r="B71" s="60" t="s">
        <v>51</v>
      </c>
      <c r="C71" s="23">
        <f t="shared" si="15"/>
        <v>11080.01</v>
      </c>
      <c r="D71" s="23">
        <f>48000*B3</f>
        <v>13296</v>
      </c>
      <c r="E71" s="23">
        <f t="shared" ref="E71:I71" si="20">E58+E9</f>
        <v>129.36000000000001</v>
      </c>
      <c r="F71" s="23">
        <f t="shared" si="20"/>
        <v>2.59</v>
      </c>
      <c r="G71" s="23">
        <f t="shared" si="20"/>
        <v>6.47</v>
      </c>
      <c r="H71" s="23">
        <f t="shared" si="20"/>
        <v>32.130000000000003</v>
      </c>
      <c r="I71" s="23">
        <f t="shared" si="20"/>
        <v>4.25</v>
      </c>
      <c r="J71" s="80"/>
      <c r="K71" s="23"/>
      <c r="L71" s="72">
        <f t="shared" si="13"/>
        <v>174.8</v>
      </c>
    </row>
    <row r="72" spans="1:13" ht="17.100000000000001" customHeight="1" x14ac:dyDescent="0.4">
      <c r="A72" s="59" t="s">
        <v>3</v>
      </c>
      <c r="B72" s="60" t="s">
        <v>51</v>
      </c>
      <c r="C72" s="23">
        <f t="shared" si="15"/>
        <v>13296.01</v>
      </c>
      <c r="D72" s="23">
        <f>56000*B3</f>
        <v>15512</v>
      </c>
      <c r="E72" s="23">
        <f t="shared" ref="E72:I72" si="21">E59+E9</f>
        <v>140.44</v>
      </c>
      <c r="F72" s="23">
        <f t="shared" si="21"/>
        <v>2.81</v>
      </c>
      <c r="G72" s="23">
        <f t="shared" si="21"/>
        <v>7.02</v>
      </c>
      <c r="H72" s="23">
        <f t="shared" si="21"/>
        <v>34.9</v>
      </c>
      <c r="I72" s="23">
        <f t="shared" si="21"/>
        <v>4.25</v>
      </c>
      <c r="J72" s="80"/>
      <c r="K72" s="23"/>
      <c r="L72" s="72">
        <f t="shared" si="13"/>
        <v>189.42</v>
      </c>
    </row>
    <row r="73" spans="1:13" ht="17.100000000000001" customHeight="1" x14ac:dyDescent="0.4">
      <c r="A73" s="59" t="s">
        <v>3</v>
      </c>
      <c r="B73" s="60" t="s">
        <v>51</v>
      </c>
      <c r="C73" s="23">
        <f t="shared" si="15"/>
        <v>15512.01</v>
      </c>
      <c r="D73" s="23">
        <f>64000*B3</f>
        <v>17728</v>
      </c>
      <c r="E73" s="23">
        <f t="shared" ref="E73:I73" si="22">E60+E9</f>
        <v>151.52000000000001</v>
      </c>
      <c r="F73" s="23">
        <f t="shared" si="22"/>
        <v>3.03</v>
      </c>
      <c r="G73" s="23">
        <f t="shared" si="22"/>
        <v>7.57</v>
      </c>
      <c r="H73" s="23">
        <f t="shared" si="22"/>
        <v>37.67</v>
      </c>
      <c r="I73" s="23">
        <f t="shared" si="22"/>
        <v>4.25</v>
      </c>
      <c r="J73" s="80"/>
      <c r="K73" s="23"/>
      <c r="L73" s="72">
        <f t="shared" si="13"/>
        <v>204.04</v>
      </c>
    </row>
    <row r="74" spans="1:13" ht="17.100000000000001" customHeight="1" x14ac:dyDescent="0.4">
      <c r="A74" s="59" t="s">
        <v>3</v>
      </c>
      <c r="B74" s="60" t="s">
        <v>51</v>
      </c>
      <c r="C74" s="23">
        <f t="shared" si="15"/>
        <v>17728.009999999998</v>
      </c>
      <c r="D74" s="23">
        <f>72000*B3</f>
        <v>19944</v>
      </c>
      <c r="E74" s="23">
        <f t="shared" ref="E74:I74" si="23">E61+E9</f>
        <v>162.6</v>
      </c>
      <c r="F74" s="23">
        <f t="shared" si="23"/>
        <v>3.26</v>
      </c>
      <c r="G74" s="23">
        <f t="shared" si="23"/>
        <v>8.1300000000000008</v>
      </c>
      <c r="H74" s="23">
        <f t="shared" si="23"/>
        <v>40.44</v>
      </c>
      <c r="I74" s="23">
        <f t="shared" si="23"/>
        <v>4.25</v>
      </c>
      <c r="J74" s="80"/>
      <c r="K74" s="23"/>
      <c r="L74" s="72">
        <f t="shared" si="13"/>
        <v>218.68</v>
      </c>
    </row>
    <row r="75" spans="1:13" ht="17.100000000000001" customHeight="1" x14ac:dyDescent="0.4">
      <c r="A75" s="59" t="s">
        <v>3</v>
      </c>
      <c r="B75" s="60" t="s">
        <v>51</v>
      </c>
      <c r="C75" s="23">
        <f t="shared" si="15"/>
        <v>19944.009999999998</v>
      </c>
      <c r="D75" s="23">
        <f>80000*B3</f>
        <v>22160</v>
      </c>
      <c r="E75" s="23">
        <f t="shared" ref="E75:I75" si="24">E62+E9</f>
        <v>173.68</v>
      </c>
      <c r="F75" s="23">
        <f t="shared" si="24"/>
        <v>3.48</v>
      </c>
      <c r="G75" s="23">
        <f t="shared" si="24"/>
        <v>8.68</v>
      </c>
      <c r="H75" s="23">
        <f t="shared" si="24"/>
        <v>43.21</v>
      </c>
      <c r="I75" s="23">
        <f t="shared" si="24"/>
        <v>4.25</v>
      </c>
      <c r="J75" s="80"/>
      <c r="K75" s="23"/>
      <c r="L75" s="72">
        <f t="shared" si="13"/>
        <v>233.3</v>
      </c>
    </row>
    <row r="76" spans="1:13" ht="17.100000000000001" customHeight="1" x14ac:dyDescent="0.4">
      <c r="A76" s="59" t="s">
        <v>3</v>
      </c>
      <c r="B76" s="60" t="s">
        <v>51</v>
      </c>
      <c r="C76" s="23">
        <f t="shared" si="15"/>
        <v>22160.01</v>
      </c>
      <c r="D76" s="23"/>
      <c r="E76" s="23">
        <f t="shared" ref="E76:I76" si="25">E63+E9</f>
        <v>184.76</v>
      </c>
      <c r="F76" s="23">
        <f t="shared" si="25"/>
        <v>3.7</v>
      </c>
      <c r="G76" s="23">
        <f t="shared" si="25"/>
        <v>9.24</v>
      </c>
      <c r="H76" s="23">
        <f t="shared" si="25"/>
        <v>45.98</v>
      </c>
      <c r="I76" s="23">
        <f t="shared" si="25"/>
        <v>4.25</v>
      </c>
      <c r="J76" s="80"/>
      <c r="K76" s="23"/>
      <c r="L76" s="72">
        <f t="shared" si="13"/>
        <v>247.93</v>
      </c>
    </row>
    <row r="77" spans="1:13" ht="17.100000000000001" customHeight="1" x14ac:dyDescent="0.4">
      <c r="A77" s="16" t="s">
        <v>27</v>
      </c>
      <c r="B77" s="17" t="s">
        <v>53</v>
      </c>
      <c r="C77" s="18"/>
      <c r="D77" s="18"/>
      <c r="E77" s="18">
        <f>70*B3</f>
        <v>19.39</v>
      </c>
      <c r="F77" s="18">
        <f>E77*B4</f>
        <v>0.39</v>
      </c>
      <c r="G77" s="18">
        <f t="shared" ref="G77:G82" si="26">E77*5%</f>
        <v>0.97</v>
      </c>
      <c r="H77" s="18">
        <f t="shared" ref="H77:H82" si="27">E77/4</f>
        <v>4.8499999999999996</v>
      </c>
      <c r="I77" s="18">
        <v>1</v>
      </c>
      <c r="J77" s="18"/>
      <c r="K77" s="18"/>
      <c r="L77" s="24">
        <f t="shared" ref="L77:L82" si="28">SUM(E77:J77)</f>
        <v>26.6</v>
      </c>
      <c r="M77" s="2"/>
    </row>
    <row r="78" spans="1:13" ht="17.100000000000001" customHeight="1" x14ac:dyDescent="0.4">
      <c r="A78" s="16" t="s">
        <v>4</v>
      </c>
      <c r="B78" s="17" t="s">
        <v>57</v>
      </c>
      <c r="C78" s="18"/>
      <c r="D78" s="18"/>
      <c r="E78" s="18">
        <f>21.14*B3-0.01</f>
        <v>5.85</v>
      </c>
      <c r="F78" s="18">
        <f>E78*B4</f>
        <v>0.12</v>
      </c>
      <c r="G78" s="18">
        <f t="shared" si="26"/>
        <v>0.28999999999999998</v>
      </c>
      <c r="H78" s="18">
        <f t="shared" si="27"/>
        <v>1.46</v>
      </c>
      <c r="I78" s="18">
        <v>0</v>
      </c>
      <c r="J78" s="18"/>
      <c r="K78" s="18"/>
      <c r="L78" s="24">
        <f t="shared" si="28"/>
        <v>7.72</v>
      </c>
      <c r="M78" s="2"/>
    </row>
    <row r="79" spans="1:13" ht="17.100000000000001" customHeight="1" x14ac:dyDescent="0.4">
      <c r="A79" s="16" t="s">
        <v>5</v>
      </c>
      <c r="B79" s="17" t="s">
        <v>6</v>
      </c>
      <c r="C79" s="18"/>
      <c r="D79" s="18"/>
      <c r="E79" s="18">
        <f>0.6*B3-0.01</f>
        <v>0.16</v>
      </c>
      <c r="F79" s="18">
        <f>E79*B4</f>
        <v>0</v>
      </c>
      <c r="G79" s="18">
        <f t="shared" si="26"/>
        <v>0.01</v>
      </c>
      <c r="H79" s="18">
        <f t="shared" si="27"/>
        <v>0.04</v>
      </c>
      <c r="I79" s="18">
        <v>0.25</v>
      </c>
      <c r="J79" s="18"/>
      <c r="K79" s="18"/>
      <c r="L79" s="24">
        <f t="shared" si="28"/>
        <v>0.46</v>
      </c>
    </row>
    <row r="80" spans="1:13" ht="17.100000000000001" customHeight="1" x14ac:dyDescent="0.4">
      <c r="A80" s="16" t="s">
        <v>28</v>
      </c>
      <c r="B80" s="17" t="s">
        <v>54</v>
      </c>
      <c r="C80" s="18"/>
      <c r="D80" s="18"/>
      <c r="E80" s="18">
        <f>1300*B3</f>
        <v>360.1</v>
      </c>
      <c r="F80" s="18">
        <f>E80*B4</f>
        <v>7.2</v>
      </c>
      <c r="G80" s="18">
        <f t="shared" si="26"/>
        <v>18.010000000000002</v>
      </c>
      <c r="H80" s="18">
        <f t="shared" si="27"/>
        <v>90.03</v>
      </c>
      <c r="I80" s="18">
        <v>4</v>
      </c>
      <c r="J80" s="18"/>
      <c r="K80" s="18"/>
      <c r="L80" s="24">
        <f t="shared" si="28"/>
        <v>479.34</v>
      </c>
      <c r="M80" s="2"/>
    </row>
    <row r="81" spans="1:13" ht="17.100000000000001" customHeight="1" x14ac:dyDescent="0.4">
      <c r="A81" s="16" t="s">
        <v>29</v>
      </c>
      <c r="B81" s="17" t="s">
        <v>55</v>
      </c>
      <c r="C81" s="18"/>
      <c r="D81" s="18"/>
      <c r="E81" s="18">
        <f>325*B3-0.01</f>
        <v>90.02</v>
      </c>
      <c r="F81" s="18">
        <f>E81*B4</f>
        <v>1.8</v>
      </c>
      <c r="G81" s="18">
        <f t="shared" si="26"/>
        <v>4.5</v>
      </c>
      <c r="H81" s="18">
        <f t="shared" si="27"/>
        <v>22.51</v>
      </c>
      <c r="I81" s="18">
        <v>4</v>
      </c>
      <c r="J81" s="18"/>
      <c r="K81" s="18"/>
      <c r="L81" s="24">
        <f t="shared" si="28"/>
        <v>122.83</v>
      </c>
      <c r="M81" s="2"/>
    </row>
    <row r="82" spans="1:13" ht="17.100000000000001" customHeight="1" thickBot="1" x14ac:dyDescent="0.45">
      <c r="A82" s="19" t="s">
        <v>30</v>
      </c>
      <c r="B82" s="20" t="s">
        <v>56</v>
      </c>
      <c r="C82" s="21"/>
      <c r="D82" s="21"/>
      <c r="E82" s="21">
        <f>193*B3</f>
        <v>53.46</v>
      </c>
      <c r="F82" s="21">
        <f>E82*B4</f>
        <v>1.07</v>
      </c>
      <c r="G82" s="21">
        <f t="shared" si="26"/>
        <v>2.67</v>
      </c>
      <c r="H82" s="21">
        <f t="shared" si="27"/>
        <v>13.37</v>
      </c>
      <c r="I82" s="21">
        <v>1</v>
      </c>
      <c r="J82" s="21"/>
      <c r="K82" s="21"/>
      <c r="L82" s="48">
        <f t="shared" si="28"/>
        <v>71.569999999999993</v>
      </c>
      <c r="M82" s="2"/>
    </row>
    <row r="83" spans="1:13" ht="17.25" customHeight="1" x14ac:dyDescent="0.3"/>
    <row r="84" spans="1:13" ht="17.25" customHeight="1" x14ac:dyDescent="0.4">
      <c r="A84" s="22" t="s">
        <v>63</v>
      </c>
      <c r="B84" s="15"/>
      <c r="E84"/>
      <c r="F84"/>
      <c r="G84"/>
      <c r="H84"/>
      <c r="I84"/>
      <c r="J84"/>
      <c r="K84"/>
      <c r="L84"/>
    </row>
    <row r="85" spans="1:13" ht="16.95" customHeight="1" x14ac:dyDescent="0.4">
      <c r="A85" s="22" t="s">
        <v>36</v>
      </c>
      <c r="B85" s="15"/>
      <c r="E85"/>
      <c r="F85"/>
      <c r="G85"/>
      <c r="H85"/>
      <c r="I85"/>
      <c r="J85"/>
      <c r="K85"/>
      <c r="L85"/>
    </row>
    <row r="86" spans="1:13" ht="17.25" customHeight="1" x14ac:dyDescent="0.4">
      <c r="A86" s="22" t="s">
        <v>24</v>
      </c>
      <c r="B86" s="15"/>
      <c r="E86"/>
      <c r="F86"/>
      <c r="G86"/>
      <c r="H86"/>
      <c r="I86"/>
      <c r="J86"/>
      <c r="K86"/>
      <c r="L86"/>
    </row>
    <row r="87" spans="1:13" ht="17.25" customHeight="1" x14ac:dyDescent="0.4">
      <c r="A87" s="11" t="s">
        <v>58</v>
      </c>
      <c r="B87" s="15"/>
      <c r="E87"/>
      <c r="F87"/>
      <c r="G87"/>
      <c r="H87"/>
      <c r="I87"/>
      <c r="J87"/>
      <c r="K87"/>
      <c r="L87"/>
    </row>
    <row r="88" spans="1:13" ht="17.25" customHeight="1" x14ac:dyDescent="0.4">
      <c r="A88" s="11" t="s">
        <v>59</v>
      </c>
      <c r="B88" s="15"/>
      <c r="E88"/>
      <c r="F88"/>
      <c r="G88"/>
      <c r="H88"/>
      <c r="I88"/>
      <c r="J88"/>
      <c r="K88"/>
      <c r="L88"/>
    </row>
    <row r="89" spans="1:13" ht="17.25" customHeight="1" x14ac:dyDescent="0.4">
      <c r="A89" s="11" t="s">
        <v>38</v>
      </c>
      <c r="B89" s="15"/>
      <c r="E89"/>
      <c r="F89"/>
      <c r="G89"/>
      <c r="H89"/>
      <c r="I89"/>
      <c r="J89"/>
      <c r="K89"/>
      <c r="L89"/>
    </row>
    <row r="90" spans="1:13" ht="17.25" customHeight="1" x14ac:dyDescent="0.4">
      <c r="A90" s="22" t="s">
        <v>23</v>
      </c>
      <c r="B90" s="15"/>
    </row>
    <row r="91" spans="1:13" ht="17.25" customHeight="1" x14ac:dyDescent="0.4">
      <c r="A91" s="11" t="s">
        <v>60</v>
      </c>
    </row>
    <row r="92" spans="1:13" ht="17.25" customHeight="1" x14ac:dyDescent="0.4">
      <c r="A92" s="11" t="s">
        <v>64</v>
      </c>
      <c r="B92" s="15"/>
      <c r="E92"/>
      <c r="F92"/>
      <c r="G92"/>
      <c r="H92"/>
      <c r="I92"/>
      <c r="J92"/>
      <c r="K92"/>
      <c r="L92"/>
    </row>
    <row r="93" spans="1:13" ht="17.25" customHeight="1" x14ac:dyDescent="0.4">
      <c r="A93" s="11" t="s">
        <v>61</v>
      </c>
    </row>
    <row r="94" spans="1:13" ht="17.25" customHeight="1" x14ac:dyDescent="0.4">
      <c r="A94" s="11" t="s">
        <v>42</v>
      </c>
    </row>
    <row r="95" spans="1:13" ht="19.2" x14ac:dyDescent="0.4">
      <c r="A95" s="79" t="s">
        <v>65</v>
      </c>
    </row>
  </sheetData>
  <mergeCells count="5">
    <mergeCell ref="C5:D5"/>
    <mergeCell ref="A2:L2"/>
    <mergeCell ref="A1:L1"/>
    <mergeCell ref="C3:L3"/>
    <mergeCell ref="C4:L4"/>
  </mergeCells>
  <printOptions horizontalCentered="1"/>
  <pageMargins left="0.59055118110236227" right="0.59055118110236227" top="0.59055118110236227" bottom="0.59055118110236227" header="0.19685039370078741" footer="0.19685039370078741"/>
  <pageSetup paperSize="9" scale="59" fitToHeight="0" orientation="landscape" horizontalDpi="4294967292" r:id="rId1"/>
  <ignoredErrors>
    <ignoredError sqref="K11:K2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380D8-319A-4726-BA62-CCCE65EF924E}">
  <sheetPr>
    <pageSetUpPr fitToPage="1"/>
  </sheetPr>
  <dimension ref="A1:L42"/>
  <sheetViews>
    <sheetView zoomScale="70" zoomScaleNormal="70" zoomScaleSheetLayoutView="50" workbookViewId="0">
      <selection activeCell="A29" sqref="A29"/>
    </sheetView>
  </sheetViews>
  <sheetFormatPr defaultRowHeight="14.4" x14ac:dyDescent="0.3"/>
  <cols>
    <col min="1" max="1" width="15.77734375" style="26" customWidth="1"/>
    <col min="2" max="2" width="60.77734375" style="26" customWidth="1"/>
    <col min="3" max="4" width="15.77734375" customWidth="1"/>
    <col min="5" max="6" width="15.77734375" style="1" customWidth="1"/>
    <col min="7" max="10" width="15.77734375" style="3" customWidth="1"/>
    <col min="11" max="11" width="15.77734375" style="1" customWidth="1"/>
    <col min="12" max="12" width="15.77734375" style="4" customWidth="1"/>
  </cols>
  <sheetData>
    <row r="1" spans="1:12" s="10" customFormat="1" ht="24" customHeight="1" thickBot="1" x14ac:dyDescent="0.45">
      <c r="A1" s="95" t="s">
        <v>68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6"/>
    </row>
    <row r="2" spans="1:12" s="10" customFormat="1" ht="24" customHeight="1" thickBot="1" x14ac:dyDescent="0.45">
      <c r="A2" s="83" t="s">
        <v>69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 ht="24" customHeight="1" thickBot="1" x14ac:dyDescent="0.45">
      <c r="A3" s="49" t="s">
        <v>31</v>
      </c>
      <c r="B3" s="50">
        <f>Completa!B3</f>
        <v>0.27700000000000002</v>
      </c>
      <c r="C3" s="82"/>
      <c r="D3" s="82"/>
      <c r="E3" s="30"/>
      <c r="F3" s="30"/>
      <c r="G3" s="31"/>
      <c r="H3" s="31"/>
      <c r="I3" s="31"/>
      <c r="J3" s="31"/>
      <c r="K3" s="30"/>
      <c r="L3" s="33"/>
    </row>
    <row r="4" spans="1:12" ht="24" customHeight="1" thickBot="1" x14ac:dyDescent="0.45">
      <c r="A4" s="61" t="s">
        <v>33</v>
      </c>
      <c r="B4" s="62">
        <f>[1]Completa!B4</f>
        <v>0.02</v>
      </c>
      <c r="C4" s="82"/>
      <c r="D4" s="82"/>
      <c r="E4" s="30"/>
      <c r="F4" s="30"/>
      <c r="G4" s="31"/>
      <c r="H4" s="31"/>
      <c r="I4" s="31"/>
      <c r="J4" s="31"/>
      <c r="K4" s="30"/>
      <c r="L4" s="33"/>
    </row>
    <row r="5" spans="1:12" ht="17.25" customHeight="1" x14ac:dyDescent="0.4">
      <c r="A5" s="63"/>
      <c r="B5" s="64"/>
      <c r="C5" s="82" t="s">
        <v>9</v>
      </c>
      <c r="D5" s="82"/>
      <c r="E5" s="30"/>
      <c r="F5" s="30"/>
      <c r="G5" s="31"/>
      <c r="H5" s="31"/>
      <c r="I5" s="31"/>
      <c r="J5" s="31"/>
      <c r="K5" s="30"/>
      <c r="L5" s="33"/>
    </row>
    <row r="6" spans="1:12" ht="110.1" customHeight="1" thickBot="1" x14ac:dyDescent="0.35">
      <c r="A6" s="65"/>
      <c r="B6" s="66"/>
      <c r="C6" s="56" t="s">
        <v>7</v>
      </c>
      <c r="D6" s="56" t="s">
        <v>8</v>
      </c>
      <c r="E6" s="57" t="s">
        <v>46</v>
      </c>
      <c r="F6" s="57" t="s">
        <v>47</v>
      </c>
      <c r="G6" s="57" t="s">
        <v>48</v>
      </c>
      <c r="H6" s="57" t="s">
        <v>49</v>
      </c>
      <c r="I6" s="57" t="s">
        <v>20</v>
      </c>
      <c r="J6" s="57" t="s">
        <v>34</v>
      </c>
      <c r="K6" s="57" t="s">
        <v>50</v>
      </c>
      <c r="L6" s="58" t="s">
        <v>25</v>
      </c>
    </row>
    <row r="7" spans="1:12" ht="17.25" customHeight="1" x14ac:dyDescent="0.4">
      <c r="A7" s="54"/>
      <c r="B7" s="54"/>
      <c r="C7" s="7"/>
      <c r="D7" s="51"/>
      <c r="E7" s="27"/>
      <c r="F7" s="27"/>
      <c r="G7" s="18"/>
      <c r="H7" s="7"/>
      <c r="I7" s="7"/>
      <c r="J7" s="7"/>
      <c r="K7" s="14"/>
      <c r="L7" s="12"/>
    </row>
    <row r="8" spans="1:12" ht="17.25" customHeight="1" x14ac:dyDescent="0.4">
      <c r="A8" s="54"/>
      <c r="B8" s="54"/>
      <c r="C8" s="7"/>
      <c r="D8" s="51"/>
      <c r="E8" s="27"/>
      <c r="F8" s="27"/>
      <c r="G8" s="18"/>
      <c r="H8" s="7"/>
      <c r="I8" s="7"/>
      <c r="J8" s="7"/>
      <c r="K8" s="14"/>
      <c r="L8" s="12"/>
    </row>
    <row r="9" spans="1:12" ht="17.25" customHeight="1" x14ac:dyDescent="0.4">
      <c r="A9" s="54"/>
      <c r="B9" s="67"/>
      <c r="C9" s="7"/>
      <c r="D9" s="51"/>
      <c r="E9" s="27"/>
      <c r="F9" s="27"/>
      <c r="G9" s="18"/>
      <c r="H9" s="7"/>
      <c r="I9" s="7"/>
      <c r="J9" s="7"/>
      <c r="K9" s="14"/>
      <c r="L9" s="12"/>
    </row>
    <row r="10" spans="1:12" ht="17.25" customHeight="1" x14ac:dyDescent="0.4">
      <c r="A10" s="54"/>
      <c r="B10" s="54"/>
      <c r="C10" s="7">
        <v>0</v>
      </c>
      <c r="D10" s="7">
        <v>192.78</v>
      </c>
      <c r="E10" s="27"/>
      <c r="F10" s="27"/>
      <c r="G10" s="18"/>
      <c r="H10" s="18">
        <f>44*B3</f>
        <v>12.19</v>
      </c>
      <c r="I10" s="18">
        <f>SUM(E10+F10+G10+H10)*B4</f>
        <v>0.24</v>
      </c>
      <c r="J10" s="18">
        <f>SUM(E10+F10+G10+H10)*5%</f>
        <v>0.61</v>
      </c>
      <c r="K10" s="81"/>
      <c r="L10" s="24">
        <f>SUM(E10:K10)</f>
        <v>13.04</v>
      </c>
    </row>
    <row r="11" spans="1:12" ht="17.25" customHeight="1" x14ac:dyDescent="0.4">
      <c r="A11" s="54"/>
      <c r="B11" s="54"/>
      <c r="C11" s="7">
        <f>D10+0.01</f>
        <v>192.79</v>
      </c>
      <c r="D11" s="7">
        <v>1928.1</v>
      </c>
      <c r="E11" s="27"/>
      <c r="F11" s="27"/>
      <c r="G11" s="18"/>
      <c r="H11" s="18">
        <f>44*B3</f>
        <v>12.19</v>
      </c>
      <c r="I11" s="18">
        <f>SUM(E11+F11+G11+H11)*B4</f>
        <v>0.24</v>
      </c>
      <c r="J11" s="18">
        <f>SUM(E11+F11+G11+H11)*5%</f>
        <v>0.61</v>
      </c>
      <c r="K11" s="81"/>
      <c r="L11" s="24">
        <f>SUM(E11:K11)</f>
        <v>13.04</v>
      </c>
    </row>
    <row r="12" spans="1:12" ht="17.25" customHeight="1" x14ac:dyDescent="0.4">
      <c r="A12" s="54"/>
      <c r="B12" s="54"/>
      <c r="C12" s="7">
        <f t="shared" ref="C12:C22" si="0">D11+0.01</f>
        <v>1928.11</v>
      </c>
      <c r="D12" s="7">
        <f>12000*B3</f>
        <v>3324</v>
      </c>
      <c r="E12" s="27"/>
      <c r="F12" s="27"/>
      <c r="G12" s="18"/>
      <c r="H12" s="18">
        <f>44*B3</f>
        <v>12.19</v>
      </c>
      <c r="I12" s="18">
        <f>SUM(E12+F12+G12+H12)*B4</f>
        <v>0.24</v>
      </c>
      <c r="J12" s="18">
        <f t="shared" ref="J12:J22" si="1">SUM(E12+F12+G12+H12)*5%</f>
        <v>0.61</v>
      </c>
      <c r="K12" s="81"/>
      <c r="L12" s="24">
        <f t="shared" ref="L12:L22" si="2">SUM(E12:K12)</f>
        <v>13.04</v>
      </c>
    </row>
    <row r="13" spans="1:12" ht="17.25" customHeight="1" x14ac:dyDescent="0.4">
      <c r="A13" s="54"/>
      <c r="B13" s="54"/>
      <c r="C13" s="7">
        <f t="shared" si="0"/>
        <v>3324.01</v>
      </c>
      <c r="D13" s="7">
        <f>16000*B3</f>
        <v>4432</v>
      </c>
      <c r="E13" s="27"/>
      <c r="F13" s="27"/>
      <c r="G13" s="18"/>
      <c r="H13" s="18">
        <f>44*B3</f>
        <v>12.19</v>
      </c>
      <c r="I13" s="18">
        <f>SUM(E13+F13+G13+H13)*B4</f>
        <v>0.24</v>
      </c>
      <c r="J13" s="18">
        <f t="shared" si="1"/>
        <v>0.61</v>
      </c>
      <c r="K13" s="81"/>
      <c r="L13" s="24">
        <f t="shared" si="2"/>
        <v>13.04</v>
      </c>
    </row>
    <row r="14" spans="1:12" ht="17.25" customHeight="1" x14ac:dyDescent="0.4">
      <c r="A14" s="54"/>
      <c r="B14" s="54"/>
      <c r="C14" s="7">
        <f t="shared" si="0"/>
        <v>4432.01</v>
      </c>
      <c r="D14" s="7">
        <f>24000*B3</f>
        <v>6648</v>
      </c>
      <c r="E14" s="27"/>
      <c r="F14" s="27"/>
      <c r="G14" s="18"/>
      <c r="H14" s="18">
        <f>44*B3</f>
        <v>12.19</v>
      </c>
      <c r="I14" s="18">
        <f>SUM(E14+F14+G14+H14)*B4</f>
        <v>0.24</v>
      </c>
      <c r="J14" s="18">
        <f t="shared" si="1"/>
        <v>0.61</v>
      </c>
      <c r="K14" s="81"/>
      <c r="L14" s="24">
        <f t="shared" si="2"/>
        <v>13.04</v>
      </c>
    </row>
    <row r="15" spans="1:12" ht="17.25" customHeight="1" x14ac:dyDescent="0.4">
      <c r="A15" s="54"/>
      <c r="B15" s="54"/>
      <c r="C15" s="7">
        <f t="shared" si="0"/>
        <v>6648.01</v>
      </c>
      <c r="D15" s="7">
        <f>32000*B3</f>
        <v>8864</v>
      </c>
      <c r="E15" s="27"/>
      <c r="F15" s="27"/>
      <c r="G15" s="18"/>
      <c r="H15" s="18">
        <f>44*B3</f>
        <v>12.19</v>
      </c>
      <c r="I15" s="18">
        <f>SUM(E15+F15+G15+H15)*B4</f>
        <v>0.24</v>
      </c>
      <c r="J15" s="18">
        <f t="shared" si="1"/>
        <v>0.61</v>
      </c>
      <c r="K15" s="81"/>
      <c r="L15" s="24">
        <f t="shared" si="2"/>
        <v>13.04</v>
      </c>
    </row>
    <row r="16" spans="1:12" ht="17.25" customHeight="1" x14ac:dyDescent="0.4">
      <c r="A16" s="54"/>
      <c r="B16" s="54"/>
      <c r="C16" s="7">
        <f t="shared" si="0"/>
        <v>8864.01</v>
      </c>
      <c r="D16" s="7">
        <f>40000*B3</f>
        <v>11080</v>
      </c>
      <c r="E16" s="27"/>
      <c r="F16" s="27"/>
      <c r="G16" s="18"/>
      <c r="H16" s="18">
        <f>44*B3</f>
        <v>12.19</v>
      </c>
      <c r="I16" s="18">
        <f>SUM(E16+F16+G16+H16)*B4</f>
        <v>0.24</v>
      </c>
      <c r="J16" s="18">
        <f t="shared" si="1"/>
        <v>0.61</v>
      </c>
      <c r="K16" s="81"/>
      <c r="L16" s="24">
        <f t="shared" si="2"/>
        <v>13.04</v>
      </c>
    </row>
    <row r="17" spans="1:12" ht="17.25" customHeight="1" x14ac:dyDescent="0.4">
      <c r="A17" s="54"/>
      <c r="B17" s="54"/>
      <c r="C17" s="7">
        <f t="shared" si="0"/>
        <v>11080.01</v>
      </c>
      <c r="D17" s="7">
        <f>48000*B3</f>
        <v>13296</v>
      </c>
      <c r="E17" s="27"/>
      <c r="F17" s="27"/>
      <c r="G17" s="18"/>
      <c r="H17" s="18">
        <f>44*B3</f>
        <v>12.19</v>
      </c>
      <c r="I17" s="18">
        <f>SUM(E17+F17+G17+H17)*B4</f>
        <v>0.24</v>
      </c>
      <c r="J17" s="18">
        <f t="shared" si="1"/>
        <v>0.61</v>
      </c>
      <c r="K17" s="81"/>
      <c r="L17" s="24">
        <f t="shared" si="2"/>
        <v>13.04</v>
      </c>
    </row>
    <row r="18" spans="1:12" ht="17.25" customHeight="1" x14ac:dyDescent="0.4">
      <c r="A18" s="54"/>
      <c r="B18" s="54"/>
      <c r="C18" s="7">
        <f t="shared" si="0"/>
        <v>13296.01</v>
      </c>
      <c r="D18" s="7">
        <f>56000*B3</f>
        <v>15512</v>
      </c>
      <c r="E18" s="27"/>
      <c r="F18" s="27"/>
      <c r="G18" s="18"/>
      <c r="H18" s="18">
        <f>44*B3</f>
        <v>12.19</v>
      </c>
      <c r="I18" s="18">
        <f>SUM(E18+F18+G18+H18)*B4</f>
        <v>0.24</v>
      </c>
      <c r="J18" s="18">
        <f t="shared" si="1"/>
        <v>0.61</v>
      </c>
      <c r="K18" s="81"/>
      <c r="L18" s="24">
        <f t="shared" si="2"/>
        <v>13.04</v>
      </c>
    </row>
    <row r="19" spans="1:12" ht="17.25" customHeight="1" x14ac:dyDescent="0.4">
      <c r="A19" s="54"/>
      <c r="B19" s="54"/>
      <c r="C19" s="7">
        <f t="shared" si="0"/>
        <v>15512.01</v>
      </c>
      <c r="D19" s="7">
        <f>64000*B3</f>
        <v>17728</v>
      </c>
      <c r="E19" s="27"/>
      <c r="F19" s="27"/>
      <c r="G19" s="18"/>
      <c r="H19" s="18">
        <f>44*B3</f>
        <v>12.19</v>
      </c>
      <c r="I19" s="18">
        <f>SUM(E19+F19+G19+H19)*B4</f>
        <v>0.24</v>
      </c>
      <c r="J19" s="18">
        <f t="shared" si="1"/>
        <v>0.61</v>
      </c>
      <c r="K19" s="81"/>
      <c r="L19" s="24">
        <f t="shared" si="2"/>
        <v>13.04</v>
      </c>
    </row>
    <row r="20" spans="1:12" ht="17.25" customHeight="1" x14ac:dyDescent="0.4">
      <c r="A20" s="54"/>
      <c r="B20" s="55"/>
      <c r="C20" s="7">
        <f t="shared" si="0"/>
        <v>17728.009999999998</v>
      </c>
      <c r="D20" s="7">
        <f>72000*B3</f>
        <v>19944</v>
      </c>
      <c r="E20" s="27"/>
      <c r="F20" s="27"/>
      <c r="G20" s="18"/>
      <c r="H20" s="18">
        <f>44*B3</f>
        <v>12.19</v>
      </c>
      <c r="I20" s="18">
        <f>SUM(E20+F20+G20+H20)*B4</f>
        <v>0.24</v>
      </c>
      <c r="J20" s="18">
        <f t="shared" si="1"/>
        <v>0.61</v>
      </c>
      <c r="K20" s="81"/>
      <c r="L20" s="24">
        <f t="shared" si="2"/>
        <v>13.04</v>
      </c>
    </row>
    <row r="21" spans="1:12" ht="17.25" customHeight="1" x14ac:dyDescent="0.4">
      <c r="A21" s="54"/>
      <c r="B21" s="54"/>
      <c r="C21" s="7">
        <f t="shared" si="0"/>
        <v>19944.009999999998</v>
      </c>
      <c r="D21" s="7">
        <f>80000*B3</f>
        <v>22160</v>
      </c>
      <c r="E21" s="27"/>
      <c r="F21" s="27"/>
      <c r="G21" s="18"/>
      <c r="H21" s="18">
        <f>44*B3</f>
        <v>12.19</v>
      </c>
      <c r="I21" s="18">
        <f>SUM(E21+F21+G21+H21)*B4</f>
        <v>0.24</v>
      </c>
      <c r="J21" s="18">
        <f t="shared" si="1"/>
        <v>0.61</v>
      </c>
      <c r="K21" s="81"/>
      <c r="L21" s="24">
        <f t="shared" si="2"/>
        <v>13.04</v>
      </c>
    </row>
    <row r="22" spans="1:12" ht="17.25" customHeight="1" x14ac:dyDescent="0.4">
      <c r="A22" s="54"/>
      <c r="B22" s="54"/>
      <c r="C22" s="7">
        <f t="shared" si="0"/>
        <v>22160.01</v>
      </c>
      <c r="D22" s="7"/>
      <c r="E22" s="27"/>
      <c r="F22" s="27"/>
      <c r="G22" s="18"/>
      <c r="H22" s="18">
        <f>44*B3</f>
        <v>12.19</v>
      </c>
      <c r="I22" s="18">
        <f>SUM(E22+F22+G22+H22)*B4</f>
        <v>0.24</v>
      </c>
      <c r="J22" s="18">
        <f t="shared" si="1"/>
        <v>0.61</v>
      </c>
      <c r="K22" s="81"/>
      <c r="L22" s="24">
        <f t="shared" si="2"/>
        <v>13.04</v>
      </c>
    </row>
    <row r="23" spans="1:12" ht="17.25" customHeight="1" x14ac:dyDescent="0.4">
      <c r="A23" s="68"/>
      <c r="B23" s="68"/>
      <c r="C23" s="69"/>
      <c r="D23" s="69"/>
      <c r="E23" s="70"/>
      <c r="F23" s="70"/>
      <c r="G23" s="71"/>
      <c r="H23" s="69"/>
      <c r="I23" s="69"/>
      <c r="J23" s="69"/>
      <c r="K23" s="69"/>
      <c r="L23" s="69"/>
    </row>
    <row r="24" spans="1:12" ht="17.100000000000001" customHeight="1" x14ac:dyDescent="0.4">
      <c r="A24" s="11" t="s">
        <v>71</v>
      </c>
      <c r="B24" s="34"/>
      <c r="E24"/>
      <c r="F24"/>
      <c r="G24"/>
      <c r="H24"/>
      <c r="I24"/>
      <c r="J24"/>
      <c r="K24"/>
      <c r="L24"/>
    </row>
    <row r="25" spans="1:12" ht="17.100000000000001" customHeight="1" x14ac:dyDescent="0.4">
      <c r="A25" s="11" t="s">
        <v>62</v>
      </c>
      <c r="B25" s="34"/>
      <c r="E25"/>
      <c r="F25"/>
      <c r="G25"/>
      <c r="H25"/>
      <c r="I25"/>
      <c r="J25"/>
      <c r="K25"/>
      <c r="L25"/>
    </row>
    <row r="26" spans="1:12" ht="17.100000000000001" customHeight="1" x14ac:dyDescent="0.4">
      <c r="A26" s="22" t="s">
        <v>37</v>
      </c>
      <c r="B26" s="34"/>
      <c r="E26"/>
      <c r="F26"/>
      <c r="G26"/>
      <c r="H26"/>
      <c r="I26"/>
      <c r="J26"/>
      <c r="K26"/>
      <c r="L26"/>
    </row>
    <row r="27" spans="1:12" ht="17.100000000000001" customHeight="1" x14ac:dyDescent="0.4">
      <c r="A27" s="22" t="s">
        <v>26</v>
      </c>
      <c r="B27" s="34"/>
      <c r="E27"/>
      <c r="F27"/>
      <c r="G27"/>
      <c r="H27"/>
      <c r="I27"/>
      <c r="J27"/>
      <c r="K27"/>
      <c r="L27"/>
    </row>
    <row r="28" spans="1:12" ht="17.100000000000001" customHeight="1" x14ac:dyDescent="0.4">
      <c r="A28" s="11" t="s">
        <v>59</v>
      </c>
      <c r="B28" s="34"/>
      <c r="E28"/>
      <c r="F28"/>
      <c r="G28"/>
      <c r="H28"/>
      <c r="I28"/>
      <c r="J28"/>
      <c r="K28"/>
      <c r="L28"/>
    </row>
    <row r="29" spans="1:12" ht="17.100000000000001" customHeight="1" x14ac:dyDescent="0.4">
      <c r="A29" s="11" t="s">
        <v>70</v>
      </c>
      <c r="B29" s="34"/>
      <c r="E29"/>
      <c r="F29"/>
      <c r="G29"/>
      <c r="H29"/>
      <c r="I29"/>
      <c r="J29"/>
      <c r="K29"/>
      <c r="L29"/>
    </row>
    <row r="30" spans="1:12" ht="19.2" x14ac:dyDescent="0.4">
      <c r="A30" s="22"/>
      <c r="G30" s="1"/>
      <c r="H30" s="1"/>
      <c r="I30" s="1"/>
      <c r="J30" s="1"/>
    </row>
    <row r="31" spans="1:12" x14ac:dyDescent="0.3">
      <c r="G31" s="1"/>
      <c r="H31" s="1"/>
      <c r="I31" s="1"/>
      <c r="J31" s="1"/>
    </row>
    <row r="32" spans="1:12" x14ac:dyDescent="0.3">
      <c r="G32" s="1"/>
      <c r="H32" s="1"/>
      <c r="I32" s="1"/>
      <c r="J32" s="1"/>
    </row>
    <row r="33" spans="7:10" x14ac:dyDescent="0.3">
      <c r="G33" s="1"/>
      <c r="H33" s="1"/>
      <c r="I33" s="1"/>
      <c r="J33" s="1"/>
    </row>
    <row r="34" spans="7:10" x14ac:dyDescent="0.3">
      <c r="G34" s="1"/>
      <c r="H34" s="1"/>
      <c r="I34" s="1"/>
      <c r="J34" s="1"/>
    </row>
    <row r="35" spans="7:10" x14ac:dyDescent="0.3">
      <c r="G35" s="1"/>
      <c r="H35" s="1"/>
      <c r="I35" s="1"/>
      <c r="J35" s="1"/>
    </row>
    <row r="36" spans="7:10" x14ac:dyDescent="0.3">
      <c r="G36" s="1"/>
      <c r="H36" s="1"/>
      <c r="I36" s="1"/>
      <c r="J36" s="1"/>
    </row>
    <row r="37" spans="7:10" x14ac:dyDescent="0.3">
      <c r="G37" s="1"/>
      <c r="H37" s="1"/>
      <c r="I37" s="1"/>
      <c r="J37" s="1"/>
    </row>
    <row r="38" spans="7:10" x14ac:dyDescent="0.3">
      <c r="G38" s="1"/>
      <c r="H38" s="1"/>
      <c r="I38" s="1"/>
      <c r="J38" s="1"/>
    </row>
    <row r="39" spans="7:10" x14ac:dyDescent="0.3">
      <c r="G39" s="1"/>
      <c r="H39" s="1"/>
      <c r="I39" s="1"/>
      <c r="J39" s="1"/>
    </row>
    <row r="40" spans="7:10" x14ac:dyDescent="0.3">
      <c r="G40" s="1"/>
      <c r="H40" s="1"/>
      <c r="I40" s="1"/>
      <c r="J40" s="1"/>
    </row>
    <row r="41" spans="7:10" x14ac:dyDescent="0.3">
      <c r="G41" s="1"/>
      <c r="H41" s="1"/>
      <c r="I41" s="1"/>
      <c r="J41" s="1"/>
    </row>
    <row r="42" spans="7:10" x14ac:dyDescent="0.3">
      <c r="G42" s="1"/>
      <c r="H42" s="1"/>
      <c r="I42" s="1"/>
      <c r="J42" s="1"/>
    </row>
  </sheetData>
  <mergeCells count="5">
    <mergeCell ref="A1:L1"/>
    <mergeCell ref="A2:L2"/>
    <mergeCell ref="C3:D3"/>
    <mergeCell ref="C4:D4"/>
    <mergeCell ref="C5:D5"/>
  </mergeCells>
  <printOptions horizontalCentered="1"/>
  <pageMargins left="0.59055118110236227" right="0.59055118110236227" top="0.59055118110236227" bottom="0.59055118110236227" header="0.19685039370078741" footer="0.19685039370078741"/>
  <pageSetup paperSize="9" scale="53" fitToHeight="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Completa</vt:lpstr>
      <vt:lpstr>Distribuidor e Contador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Alexandre Scigliano Valerio</cp:lastModifiedBy>
  <cp:lastPrinted>2018-01-08T18:50:44Z</cp:lastPrinted>
  <dcterms:created xsi:type="dcterms:W3CDTF">2017-03-07T19:16:14Z</dcterms:created>
  <dcterms:modified xsi:type="dcterms:W3CDTF">2026-04-28T20:25:19Z</dcterms:modified>
</cp:coreProperties>
</file>